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ADM\Downloads\"/>
    </mc:Choice>
  </mc:AlternateContent>
  <xr:revisionPtr revIDLastSave="0" documentId="13_ncr:1_{7B5260EE-1554-4C88-B8BA-4608BD82BF9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portePlanillasxConcepto - 202" sheetId="1" state="hidden" r:id="rId1"/>
    <sheet name="FC" sheetId="3" r:id="rId2"/>
  </sheets>
  <definedNames>
    <definedName name="_xlnm._FilterDatabase" localSheetId="1" hidden="1">FC!$A$4:$H$26</definedName>
    <definedName name="_xlnm._FilterDatabase" localSheetId="0" hidden="1">'ReportePlanillasxConcepto - 202'!$A$3:$I$849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B26" i="3"/>
  <c r="E25" i="3"/>
  <c r="B25" i="3"/>
  <c r="E24" i="3"/>
  <c r="B24" i="3"/>
  <c r="E23" i="3"/>
  <c r="B23" i="3"/>
  <c r="E22" i="3"/>
  <c r="B22" i="3"/>
  <c r="E21" i="3"/>
  <c r="B21" i="3"/>
  <c r="E20" i="3"/>
  <c r="B20" i="3"/>
  <c r="E19" i="3"/>
  <c r="B19" i="3"/>
  <c r="E18" i="3"/>
  <c r="B18" i="3"/>
  <c r="E17" i="3"/>
  <c r="B17" i="3"/>
  <c r="E16" i="3"/>
  <c r="B16" i="3"/>
  <c r="E15" i="3"/>
  <c r="B15" i="3"/>
  <c r="E14" i="3"/>
  <c r="B14" i="3"/>
  <c r="E13" i="3"/>
  <c r="B13" i="3"/>
  <c r="E12" i="3"/>
  <c r="B12" i="3"/>
  <c r="E11" i="3"/>
  <c r="B11" i="3"/>
  <c r="E10" i="3"/>
  <c r="B10" i="3"/>
  <c r="E9" i="3"/>
  <c r="B9" i="3"/>
  <c r="E8" i="3"/>
  <c r="B8" i="3"/>
  <c r="E7" i="3"/>
  <c r="B7" i="3"/>
  <c r="E6" i="3"/>
  <c r="B6" i="3"/>
  <c r="E413" i="1" l="1"/>
  <c r="B413" i="1"/>
  <c r="E412" i="1"/>
  <c r="B412" i="1"/>
  <c r="E596" i="1"/>
  <c r="B596" i="1"/>
  <c r="E517" i="1"/>
  <c r="B517" i="1"/>
  <c r="E328" i="1"/>
  <c r="B328" i="1"/>
  <c r="E516" i="1"/>
  <c r="B516" i="1"/>
  <c r="E790" i="1"/>
  <c r="B790" i="1"/>
  <c r="E327" i="1"/>
  <c r="B327" i="1"/>
  <c r="E411" i="1"/>
  <c r="B411" i="1"/>
  <c r="E789" i="1"/>
  <c r="B789" i="1"/>
  <c r="E231" i="1"/>
  <c r="B231" i="1"/>
  <c r="E410" i="1"/>
  <c r="B410" i="1"/>
  <c r="E409" i="1"/>
  <c r="B409" i="1"/>
  <c r="E678" i="1"/>
  <c r="B678" i="1"/>
  <c r="E849" i="1"/>
  <c r="B849" i="1"/>
  <c r="E86" i="1"/>
  <c r="B86" i="1"/>
  <c r="E230" i="1"/>
  <c r="B230" i="1"/>
  <c r="E788" i="1"/>
  <c r="B788" i="1"/>
  <c r="E515" i="1"/>
  <c r="B515" i="1"/>
  <c r="E677" i="1"/>
  <c r="B677" i="1"/>
  <c r="E676" i="1"/>
  <c r="B676" i="1"/>
  <c r="E85" i="1"/>
  <c r="B85" i="1"/>
  <c r="E229" i="1"/>
  <c r="B229" i="1"/>
  <c r="E787" i="1"/>
  <c r="B787" i="1"/>
  <c r="E84" i="1"/>
  <c r="B84" i="1"/>
  <c r="E595" i="1"/>
  <c r="B595" i="1"/>
  <c r="E594" i="1"/>
  <c r="B594" i="1"/>
  <c r="E848" i="1"/>
  <c r="B848" i="1"/>
  <c r="E675" i="1"/>
  <c r="B675" i="1"/>
  <c r="E847" i="1"/>
  <c r="B847" i="1"/>
  <c r="E228" i="1"/>
  <c r="B228" i="1"/>
  <c r="E83" i="1"/>
  <c r="B83" i="1"/>
  <c r="E326" i="1"/>
  <c r="B326" i="1"/>
  <c r="E786" i="1"/>
  <c r="B786" i="1"/>
  <c r="E171" i="1"/>
  <c r="B171" i="1"/>
  <c r="E227" i="1"/>
  <c r="B227" i="1"/>
  <c r="E785" i="1"/>
  <c r="B785" i="1"/>
  <c r="E408" i="1"/>
  <c r="B408" i="1"/>
  <c r="E170" i="1"/>
  <c r="B170" i="1"/>
  <c r="E514" i="1"/>
  <c r="B514" i="1"/>
  <c r="E784" i="1"/>
  <c r="B784" i="1"/>
  <c r="E82" i="1"/>
  <c r="B82" i="1"/>
  <c r="E783" i="1"/>
  <c r="B783" i="1"/>
  <c r="E451" i="1"/>
  <c r="B451" i="1"/>
  <c r="E169" i="1"/>
  <c r="B169" i="1"/>
  <c r="E81" i="1"/>
  <c r="B81" i="1"/>
  <c r="E80" i="1"/>
  <c r="B80" i="1"/>
  <c r="E846" i="1"/>
  <c r="B846" i="1"/>
  <c r="E845" i="1"/>
  <c r="B845" i="1"/>
  <c r="E513" i="1"/>
  <c r="B513" i="1"/>
  <c r="E79" i="1"/>
  <c r="B79" i="1"/>
  <c r="E782" i="1"/>
  <c r="B782" i="1"/>
  <c r="E593" i="1"/>
  <c r="B593" i="1"/>
  <c r="E781" i="1"/>
  <c r="B781" i="1"/>
  <c r="E674" i="1"/>
  <c r="B674" i="1"/>
  <c r="E325" i="1"/>
  <c r="B325" i="1"/>
  <c r="E226" i="1"/>
  <c r="B226" i="1"/>
  <c r="E407" i="1"/>
  <c r="B407" i="1"/>
  <c r="E780" i="1"/>
  <c r="B780" i="1"/>
  <c r="E512" i="1"/>
  <c r="B512" i="1"/>
  <c r="E406" i="1"/>
  <c r="B406" i="1"/>
  <c r="E78" i="1"/>
  <c r="B78" i="1"/>
  <c r="E779" i="1"/>
  <c r="B779" i="1"/>
  <c r="E324" i="1"/>
  <c r="B324" i="1"/>
  <c r="E77" i="1"/>
  <c r="B77" i="1"/>
  <c r="E511" i="1"/>
  <c r="B511" i="1"/>
  <c r="E225" i="1"/>
  <c r="B225" i="1"/>
  <c r="E224" i="1"/>
  <c r="B224" i="1"/>
  <c r="E673" i="1"/>
  <c r="B673" i="1"/>
  <c r="E778" i="1"/>
  <c r="B778" i="1"/>
  <c r="E405" i="1"/>
  <c r="B405" i="1"/>
  <c r="E168" i="1"/>
  <c r="B168" i="1"/>
  <c r="E672" i="1"/>
  <c r="B672" i="1"/>
  <c r="E404" i="1"/>
  <c r="B404" i="1"/>
  <c r="E223" i="1"/>
  <c r="B223" i="1"/>
  <c r="E403" i="1"/>
  <c r="B403" i="1"/>
  <c r="E76" i="1"/>
  <c r="B76" i="1"/>
  <c r="E671" i="1"/>
  <c r="B671" i="1"/>
  <c r="E510" i="1"/>
  <c r="B510" i="1"/>
  <c r="E670" i="1"/>
  <c r="B670" i="1"/>
  <c r="E323" i="1"/>
  <c r="B323" i="1"/>
  <c r="E402" i="1"/>
  <c r="B402" i="1"/>
  <c r="E509" i="1"/>
  <c r="B509" i="1"/>
  <c r="E322" i="1"/>
  <c r="B322" i="1"/>
  <c r="E222" i="1"/>
  <c r="B222" i="1"/>
  <c r="E777" i="1"/>
  <c r="B777" i="1"/>
  <c r="E167" i="1"/>
  <c r="B167" i="1"/>
  <c r="E776" i="1"/>
  <c r="B776" i="1"/>
  <c r="E775" i="1"/>
  <c r="B775" i="1"/>
  <c r="E844" i="1"/>
  <c r="B844" i="1"/>
  <c r="E669" i="1"/>
  <c r="B669" i="1"/>
  <c r="E843" i="1"/>
  <c r="B843" i="1"/>
  <c r="E592" i="1"/>
  <c r="B592" i="1"/>
  <c r="E321" i="1"/>
  <c r="B321" i="1"/>
  <c r="E166" i="1"/>
  <c r="B166" i="1"/>
  <c r="E774" i="1"/>
  <c r="B774" i="1"/>
  <c r="E591" i="1"/>
  <c r="B591" i="1"/>
  <c r="E842" i="1"/>
  <c r="B842" i="1"/>
  <c r="E590" i="1"/>
  <c r="B590" i="1"/>
  <c r="E508" i="1"/>
  <c r="B508" i="1"/>
  <c r="E320" i="1"/>
  <c r="B320" i="1"/>
  <c r="E773" i="1"/>
  <c r="B773" i="1"/>
  <c r="E772" i="1"/>
  <c r="B772" i="1"/>
  <c r="E75" i="1"/>
  <c r="B75" i="1"/>
  <c r="E221" i="1"/>
  <c r="B221" i="1"/>
  <c r="E319" i="1"/>
  <c r="B319" i="1"/>
  <c r="E771" i="1"/>
  <c r="B771" i="1"/>
  <c r="E401" i="1"/>
  <c r="B401" i="1"/>
  <c r="E220" i="1"/>
  <c r="B220" i="1"/>
  <c r="E74" i="1"/>
  <c r="B74" i="1"/>
  <c r="E318" i="1"/>
  <c r="B318" i="1"/>
  <c r="E770" i="1"/>
  <c r="B770" i="1"/>
  <c r="E165" i="1"/>
  <c r="B165" i="1"/>
  <c r="E668" i="1"/>
  <c r="B668" i="1"/>
  <c r="E841" i="1"/>
  <c r="B841" i="1"/>
  <c r="E769" i="1"/>
  <c r="B769" i="1"/>
  <c r="E400" i="1"/>
  <c r="B400" i="1"/>
  <c r="E507" i="1"/>
  <c r="B507" i="1"/>
  <c r="E164" i="1"/>
  <c r="B164" i="1"/>
  <c r="E73" i="1"/>
  <c r="B73" i="1"/>
  <c r="E450" i="1"/>
  <c r="B450" i="1"/>
  <c r="E768" i="1"/>
  <c r="B768" i="1"/>
  <c r="E767" i="1"/>
  <c r="B767" i="1"/>
  <c r="E667" i="1"/>
  <c r="B667" i="1"/>
  <c r="E317" i="1"/>
  <c r="B317" i="1"/>
  <c r="E766" i="1"/>
  <c r="B766" i="1"/>
  <c r="E506" i="1"/>
  <c r="B506" i="1"/>
  <c r="E219" i="1"/>
  <c r="B219" i="1"/>
  <c r="E316" i="1"/>
  <c r="B316" i="1"/>
  <c r="E505" i="1"/>
  <c r="B505" i="1"/>
  <c r="E315" i="1"/>
  <c r="B315" i="1"/>
  <c r="E72" i="1"/>
  <c r="B72" i="1"/>
  <c r="E666" i="1"/>
  <c r="B666" i="1"/>
  <c r="E314" i="1"/>
  <c r="B314" i="1"/>
  <c r="E399" i="1"/>
  <c r="B399" i="1"/>
  <c r="E313" i="1"/>
  <c r="B313" i="1"/>
  <c r="E765" i="1"/>
  <c r="B765" i="1"/>
  <c r="E764" i="1"/>
  <c r="B764" i="1"/>
  <c r="E665" i="1"/>
  <c r="B665" i="1"/>
  <c r="E71" i="1"/>
  <c r="B71" i="1"/>
  <c r="E664" i="1"/>
  <c r="B664" i="1"/>
  <c r="E312" i="1"/>
  <c r="B312" i="1"/>
  <c r="E589" i="1"/>
  <c r="B589" i="1"/>
  <c r="E218" i="1"/>
  <c r="B218" i="1"/>
  <c r="E70" i="1"/>
  <c r="B70" i="1"/>
  <c r="E840" i="1"/>
  <c r="B840" i="1"/>
  <c r="E504" i="1"/>
  <c r="B504" i="1"/>
  <c r="E311" i="1"/>
  <c r="B311" i="1"/>
  <c r="E163" i="1"/>
  <c r="B163" i="1"/>
  <c r="E663" i="1"/>
  <c r="B663" i="1"/>
  <c r="E217" i="1"/>
  <c r="B217" i="1"/>
  <c r="E503" i="1"/>
  <c r="B503" i="1"/>
  <c r="E763" i="1"/>
  <c r="B763" i="1"/>
  <c r="E502" i="1"/>
  <c r="B502" i="1"/>
  <c r="E398" i="1"/>
  <c r="B398" i="1"/>
  <c r="E762" i="1"/>
  <c r="B762" i="1"/>
  <c r="E501" i="1"/>
  <c r="B501" i="1"/>
  <c r="E588" i="1"/>
  <c r="B588" i="1"/>
  <c r="E310" i="1"/>
  <c r="B310" i="1"/>
  <c r="E839" i="1"/>
  <c r="B839" i="1"/>
  <c r="E587" i="1"/>
  <c r="B587" i="1"/>
  <c r="E500" i="1"/>
  <c r="B500" i="1"/>
  <c r="E309" i="1"/>
  <c r="B309" i="1"/>
  <c r="E397" i="1"/>
  <c r="B397" i="1"/>
  <c r="E308" i="1"/>
  <c r="B308" i="1"/>
  <c r="E761" i="1"/>
  <c r="B761" i="1"/>
  <c r="E216" i="1"/>
  <c r="B216" i="1"/>
  <c r="E662" i="1"/>
  <c r="B662" i="1"/>
  <c r="E396" i="1"/>
  <c r="B396" i="1"/>
  <c r="E586" i="1"/>
  <c r="B586" i="1"/>
  <c r="E661" i="1"/>
  <c r="B661" i="1"/>
  <c r="E449" i="1"/>
  <c r="B449" i="1"/>
  <c r="E215" i="1"/>
  <c r="B215" i="1"/>
  <c r="E448" i="1"/>
  <c r="B448" i="1"/>
  <c r="E499" i="1"/>
  <c r="B499" i="1"/>
  <c r="E838" i="1"/>
  <c r="B838" i="1"/>
  <c r="E162" i="1"/>
  <c r="B162" i="1"/>
  <c r="E161" i="1"/>
  <c r="B161" i="1"/>
  <c r="E69" i="1"/>
  <c r="B69" i="1"/>
  <c r="E760" i="1"/>
  <c r="B760" i="1"/>
  <c r="E660" i="1"/>
  <c r="B660" i="1"/>
  <c r="E585" i="1"/>
  <c r="B585" i="1"/>
  <c r="E395" i="1"/>
  <c r="B395" i="1"/>
  <c r="E584" i="1"/>
  <c r="B584" i="1"/>
  <c r="E394" i="1"/>
  <c r="B394" i="1"/>
  <c r="E583" i="1"/>
  <c r="B583" i="1"/>
  <c r="E214" i="1"/>
  <c r="B214" i="1"/>
  <c r="E447" i="1"/>
  <c r="B447" i="1"/>
  <c r="E307" i="1"/>
  <c r="B307" i="1"/>
  <c r="E393" i="1"/>
  <c r="B393" i="1"/>
  <c r="E659" i="1"/>
  <c r="B659" i="1"/>
  <c r="E582" i="1"/>
  <c r="B582" i="1"/>
  <c r="E306" i="1"/>
  <c r="B306" i="1"/>
  <c r="E759" i="1"/>
  <c r="B759" i="1"/>
  <c r="E581" i="1"/>
  <c r="B581" i="1"/>
  <c r="E580" i="1"/>
  <c r="B580" i="1"/>
  <c r="E837" i="1"/>
  <c r="B837" i="1"/>
  <c r="E160" i="1"/>
  <c r="B160" i="1"/>
  <c r="E579" i="1"/>
  <c r="B579" i="1"/>
  <c r="E305" i="1"/>
  <c r="B305" i="1"/>
  <c r="E658" i="1"/>
  <c r="B658" i="1"/>
  <c r="E304" i="1"/>
  <c r="B304" i="1"/>
  <c r="E498" i="1"/>
  <c r="B498" i="1"/>
  <c r="E758" i="1"/>
  <c r="B758" i="1"/>
  <c r="E392" i="1"/>
  <c r="B392" i="1"/>
  <c r="E303" i="1"/>
  <c r="B303" i="1"/>
  <c r="E578" i="1"/>
  <c r="B578" i="1"/>
  <c r="E159" i="1"/>
  <c r="B159" i="1"/>
  <c r="E577" i="1"/>
  <c r="B577" i="1"/>
  <c r="E391" i="1"/>
  <c r="B391" i="1"/>
  <c r="E576" i="1"/>
  <c r="B576" i="1"/>
  <c r="E836" i="1"/>
  <c r="B836" i="1"/>
  <c r="E213" i="1"/>
  <c r="B213" i="1"/>
  <c r="E390" i="1"/>
  <c r="B390" i="1"/>
  <c r="E302" i="1"/>
  <c r="B302" i="1"/>
  <c r="E497" i="1"/>
  <c r="B497" i="1"/>
  <c r="E301" i="1"/>
  <c r="B301" i="1"/>
  <c r="E300" i="1"/>
  <c r="B300" i="1"/>
  <c r="E757" i="1"/>
  <c r="B757" i="1"/>
  <c r="E389" i="1"/>
  <c r="B389" i="1"/>
  <c r="E299" i="1"/>
  <c r="B299" i="1"/>
  <c r="E388" i="1"/>
  <c r="B388" i="1"/>
  <c r="E298" i="1"/>
  <c r="B298" i="1"/>
  <c r="E657" i="1"/>
  <c r="B657" i="1"/>
  <c r="E212" i="1"/>
  <c r="B212" i="1"/>
  <c r="E68" i="1"/>
  <c r="B68" i="1"/>
  <c r="E756" i="1"/>
  <c r="B756" i="1"/>
  <c r="E835" i="1"/>
  <c r="B835" i="1"/>
  <c r="E387" i="1"/>
  <c r="B387" i="1"/>
  <c r="E67" i="1"/>
  <c r="B67" i="1"/>
  <c r="E575" i="1"/>
  <c r="B575" i="1"/>
  <c r="E755" i="1"/>
  <c r="B755" i="1"/>
  <c r="E446" i="1"/>
  <c r="B446" i="1"/>
  <c r="E445" i="1"/>
  <c r="B445" i="1"/>
  <c r="E574" i="1"/>
  <c r="B574" i="1"/>
  <c r="E158" i="1"/>
  <c r="B158" i="1"/>
  <c r="E754" i="1"/>
  <c r="B754" i="1"/>
  <c r="E573" i="1"/>
  <c r="B573" i="1"/>
  <c r="E444" i="1"/>
  <c r="B444" i="1"/>
  <c r="E211" i="1"/>
  <c r="B211" i="1"/>
  <c r="E297" i="1"/>
  <c r="B297" i="1"/>
  <c r="E656" i="1"/>
  <c r="B656" i="1"/>
  <c r="E66" i="1"/>
  <c r="B66" i="1"/>
  <c r="E834" i="1"/>
  <c r="B834" i="1"/>
  <c r="E157" i="1"/>
  <c r="B157" i="1"/>
  <c r="E156" i="1"/>
  <c r="B156" i="1"/>
  <c r="E655" i="1"/>
  <c r="B655" i="1"/>
  <c r="E386" i="1"/>
  <c r="B386" i="1"/>
  <c r="E296" i="1"/>
  <c r="B296" i="1"/>
  <c r="E496" i="1"/>
  <c r="B496" i="1"/>
  <c r="E495" i="1"/>
  <c r="B495" i="1"/>
  <c r="E385" i="1"/>
  <c r="B385" i="1"/>
  <c r="E295" i="1"/>
  <c r="B295" i="1"/>
  <c r="E65" i="1"/>
  <c r="B65" i="1"/>
  <c r="E833" i="1"/>
  <c r="B833" i="1"/>
  <c r="E654" i="1"/>
  <c r="B654" i="1"/>
  <c r="E753" i="1"/>
  <c r="B753" i="1"/>
  <c r="E653" i="1"/>
  <c r="B653" i="1"/>
  <c r="E443" i="1"/>
  <c r="B443" i="1"/>
  <c r="E652" i="1"/>
  <c r="B652" i="1"/>
  <c r="E572" i="1"/>
  <c r="B572" i="1"/>
  <c r="E442" i="1"/>
  <c r="B442" i="1"/>
  <c r="E571" i="1"/>
  <c r="B571" i="1"/>
  <c r="E832" i="1"/>
  <c r="B832" i="1"/>
  <c r="E494" i="1"/>
  <c r="B494" i="1"/>
  <c r="E752" i="1"/>
  <c r="B752" i="1"/>
  <c r="E210" i="1"/>
  <c r="B210" i="1"/>
  <c r="E831" i="1"/>
  <c r="B831" i="1"/>
  <c r="E155" i="1"/>
  <c r="B155" i="1"/>
  <c r="E493" i="1"/>
  <c r="B493" i="1"/>
  <c r="E154" i="1"/>
  <c r="B154" i="1"/>
  <c r="E153" i="1"/>
  <c r="B153" i="1"/>
  <c r="E294" i="1"/>
  <c r="B294" i="1"/>
  <c r="E751" i="1"/>
  <c r="B751" i="1"/>
  <c r="E651" i="1"/>
  <c r="B651" i="1"/>
  <c r="E492" i="1"/>
  <c r="B492" i="1"/>
  <c r="E152" i="1"/>
  <c r="B152" i="1"/>
  <c r="E570" i="1"/>
  <c r="B570" i="1"/>
  <c r="E750" i="1"/>
  <c r="B750" i="1"/>
  <c r="E569" i="1"/>
  <c r="B569" i="1"/>
  <c r="E441" i="1"/>
  <c r="B441" i="1"/>
  <c r="E151" i="1"/>
  <c r="B151" i="1"/>
  <c r="E830" i="1"/>
  <c r="B830" i="1"/>
  <c r="E384" i="1"/>
  <c r="B384" i="1"/>
  <c r="E293" i="1"/>
  <c r="B293" i="1"/>
  <c r="E150" i="1"/>
  <c r="B150" i="1"/>
  <c r="E650" i="1"/>
  <c r="B650" i="1"/>
  <c r="E749" i="1"/>
  <c r="B749" i="1"/>
  <c r="E149" i="1"/>
  <c r="B149" i="1"/>
  <c r="E491" i="1"/>
  <c r="B491" i="1"/>
  <c r="E209" i="1"/>
  <c r="B209" i="1"/>
  <c r="E148" i="1"/>
  <c r="B148" i="1"/>
  <c r="E568" i="1"/>
  <c r="B568" i="1"/>
  <c r="E440" i="1"/>
  <c r="B440" i="1"/>
  <c r="E490" i="1"/>
  <c r="B490" i="1"/>
  <c r="E64" i="1"/>
  <c r="B64" i="1"/>
  <c r="E649" i="1"/>
  <c r="B649" i="1"/>
  <c r="E147" i="1"/>
  <c r="B147" i="1"/>
  <c r="E829" i="1"/>
  <c r="B829" i="1"/>
  <c r="E748" i="1"/>
  <c r="B748" i="1"/>
  <c r="E63" i="1"/>
  <c r="B63" i="1"/>
  <c r="E747" i="1"/>
  <c r="B747" i="1"/>
  <c r="E62" i="1"/>
  <c r="B62" i="1"/>
  <c r="E746" i="1"/>
  <c r="B746" i="1"/>
  <c r="E146" i="1"/>
  <c r="B146" i="1"/>
  <c r="E828" i="1"/>
  <c r="B828" i="1"/>
  <c r="E383" i="1"/>
  <c r="B383" i="1"/>
  <c r="E145" i="1"/>
  <c r="B145" i="1"/>
  <c r="E745" i="1"/>
  <c r="B745" i="1"/>
  <c r="E61" i="1"/>
  <c r="B61" i="1"/>
  <c r="E648" i="1"/>
  <c r="B648" i="1"/>
  <c r="E60" i="1"/>
  <c r="B60" i="1"/>
  <c r="E744" i="1"/>
  <c r="B744" i="1"/>
  <c r="E59" i="1"/>
  <c r="B59" i="1"/>
  <c r="E567" i="1"/>
  <c r="B567" i="1"/>
  <c r="E144" i="1"/>
  <c r="B144" i="1"/>
  <c r="E489" i="1"/>
  <c r="B489" i="1"/>
  <c r="E827" i="1"/>
  <c r="B827" i="1"/>
  <c r="E143" i="1"/>
  <c r="B143" i="1"/>
  <c r="E208" i="1"/>
  <c r="B208" i="1"/>
  <c r="E488" i="1"/>
  <c r="B488" i="1"/>
  <c r="E439" i="1"/>
  <c r="B439" i="1"/>
  <c r="E207" i="1"/>
  <c r="B207" i="1"/>
  <c r="E142" i="1"/>
  <c r="B142" i="1"/>
  <c r="E743" i="1"/>
  <c r="B743" i="1"/>
  <c r="E566" i="1"/>
  <c r="B566" i="1"/>
  <c r="E292" i="1"/>
  <c r="B292" i="1"/>
  <c r="E826" i="1"/>
  <c r="B826" i="1"/>
  <c r="E141" i="1"/>
  <c r="B141" i="1"/>
  <c r="E565" i="1"/>
  <c r="B565" i="1"/>
  <c r="E140" i="1"/>
  <c r="B140" i="1"/>
  <c r="E647" i="1"/>
  <c r="B647" i="1"/>
  <c r="E825" i="1"/>
  <c r="B825" i="1"/>
  <c r="E564" i="1"/>
  <c r="B564" i="1"/>
  <c r="E824" i="1"/>
  <c r="B824" i="1"/>
  <c r="E438" i="1"/>
  <c r="B438" i="1"/>
  <c r="E139" i="1"/>
  <c r="B139" i="1"/>
  <c r="E58" i="1"/>
  <c r="B58" i="1"/>
  <c r="E138" i="1"/>
  <c r="B138" i="1"/>
  <c r="E742" i="1"/>
  <c r="B742" i="1"/>
  <c r="E206" i="1"/>
  <c r="B206" i="1"/>
  <c r="E205" i="1"/>
  <c r="B205" i="1"/>
  <c r="E487" i="1"/>
  <c r="B487" i="1"/>
  <c r="E382" i="1"/>
  <c r="B382" i="1"/>
  <c r="E137" i="1"/>
  <c r="B137" i="1"/>
  <c r="E741" i="1"/>
  <c r="B741" i="1"/>
  <c r="E136" i="1"/>
  <c r="B136" i="1"/>
  <c r="E291" i="1"/>
  <c r="B291" i="1"/>
  <c r="E823" i="1"/>
  <c r="B823" i="1"/>
  <c r="E290" i="1"/>
  <c r="B290" i="1"/>
  <c r="E289" i="1"/>
  <c r="B289" i="1"/>
  <c r="E57" i="1"/>
  <c r="B57" i="1"/>
  <c r="E563" i="1"/>
  <c r="B563" i="1"/>
  <c r="E740" i="1"/>
  <c r="B740" i="1"/>
  <c r="E562" i="1"/>
  <c r="B562" i="1"/>
  <c r="E822" i="1"/>
  <c r="B822" i="1"/>
  <c r="E135" i="1"/>
  <c r="B135" i="1"/>
  <c r="E561" i="1"/>
  <c r="B561" i="1"/>
  <c r="E56" i="1"/>
  <c r="B56" i="1"/>
  <c r="E55" i="1"/>
  <c r="B55" i="1"/>
  <c r="E381" i="1"/>
  <c r="B381" i="1"/>
  <c r="E54" i="1"/>
  <c r="B54" i="1"/>
  <c r="E821" i="1"/>
  <c r="B821" i="1"/>
  <c r="E53" i="1"/>
  <c r="B53" i="1"/>
  <c r="E134" i="1"/>
  <c r="B134" i="1"/>
  <c r="E52" i="1"/>
  <c r="B52" i="1"/>
  <c r="E288" i="1"/>
  <c r="B288" i="1"/>
  <c r="E51" i="1"/>
  <c r="B51" i="1"/>
  <c r="E204" i="1"/>
  <c r="B204" i="1"/>
  <c r="E50" i="1"/>
  <c r="B50" i="1"/>
  <c r="E560" i="1"/>
  <c r="B560" i="1"/>
  <c r="E287" i="1"/>
  <c r="B287" i="1"/>
  <c r="E820" i="1"/>
  <c r="B820" i="1"/>
  <c r="E380" i="1"/>
  <c r="B380" i="1"/>
  <c r="E133" i="1"/>
  <c r="B133" i="1"/>
  <c r="E437" i="1"/>
  <c r="B437" i="1"/>
  <c r="E379" i="1"/>
  <c r="B379" i="1"/>
  <c r="E203" i="1"/>
  <c r="B203" i="1"/>
  <c r="E286" i="1"/>
  <c r="B286" i="1"/>
  <c r="E486" i="1"/>
  <c r="B486" i="1"/>
  <c r="E49" i="1"/>
  <c r="B49" i="1"/>
  <c r="E436" i="1"/>
  <c r="B436" i="1"/>
  <c r="E559" i="1"/>
  <c r="B559" i="1"/>
  <c r="E739" i="1"/>
  <c r="B739" i="1"/>
  <c r="E646" i="1"/>
  <c r="B646" i="1"/>
  <c r="E738" i="1"/>
  <c r="B738" i="1"/>
  <c r="E645" i="1"/>
  <c r="B645" i="1"/>
  <c r="E202" i="1"/>
  <c r="B202" i="1"/>
  <c r="E378" i="1"/>
  <c r="B378" i="1"/>
  <c r="E132" i="1"/>
  <c r="B132" i="1"/>
  <c r="E285" i="1"/>
  <c r="B285" i="1"/>
  <c r="E485" i="1"/>
  <c r="B485" i="1"/>
  <c r="E284" i="1"/>
  <c r="B284" i="1"/>
  <c r="E48" i="1"/>
  <c r="B48" i="1"/>
  <c r="E377" i="1"/>
  <c r="B377" i="1"/>
  <c r="E558" i="1"/>
  <c r="B558" i="1"/>
  <c r="E47" i="1"/>
  <c r="B47" i="1"/>
  <c r="E557" i="1"/>
  <c r="B557" i="1"/>
  <c r="E556" i="1"/>
  <c r="B556" i="1"/>
  <c r="E131" i="1"/>
  <c r="B131" i="1"/>
  <c r="E130" i="1"/>
  <c r="B130" i="1"/>
  <c r="E201" i="1"/>
  <c r="B201" i="1"/>
  <c r="E644" i="1"/>
  <c r="B644" i="1"/>
  <c r="E200" i="1"/>
  <c r="B200" i="1"/>
  <c r="E643" i="1"/>
  <c r="B643" i="1"/>
  <c r="E283" i="1"/>
  <c r="B283" i="1"/>
  <c r="E282" i="1"/>
  <c r="B282" i="1"/>
  <c r="E129" i="1"/>
  <c r="B129" i="1"/>
  <c r="E46" i="1"/>
  <c r="B46" i="1"/>
  <c r="E642" i="1"/>
  <c r="B642" i="1"/>
  <c r="E484" i="1"/>
  <c r="B484" i="1"/>
  <c r="E128" i="1"/>
  <c r="B128" i="1"/>
  <c r="E199" i="1"/>
  <c r="B199" i="1"/>
  <c r="E198" i="1"/>
  <c r="B198" i="1"/>
  <c r="E641" i="1"/>
  <c r="B641" i="1"/>
  <c r="E640" i="1"/>
  <c r="B640" i="1"/>
  <c r="E819" i="1"/>
  <c r="B819" i="1"/>
  <c r="E197" i="1"/>
  <c r="B197" i="1"/>
  <c r="E818" i="1"/>
  <c r="B818" i="1"/>
  <c r="E737" i="1"/>
  <c r="B737" i="1"/>
  <c r="E736" i="1"/>
  <c r="B736" i="1"/>
  <c r="E127" i="1"/>
  <c r="B127" i="1"/>
  <c r="E639" i="1"/>
  <c r="B639" i="1"/>
  <c r="E435" i="1"/>
  <c r="B435" i="1"/>
  <c r="E281" i="1"/>
  <c r="B281" i="1"/>
  <c r="E126" i="1"/>
  <c r="B126" i="1"/>
  <c r="E638" i="1"/>
  <c r="B638" i="1"/>
  <c r="E280" i="1"/>
  <c r="B280" i="1"/>
  <c r="E279" i="1"/>
  <c r="B279" i="1"/>
  <c r="E196" i="1"/>
  <c r="B196" i="1"/>
  <c r="E735" i="1"/>
  <c r="B735" i="1"/>
  <c r="E637" i="1"/>
  <c r="B637" i="1"/>
  <c r="E817" i="1"/>
  <c r="B817" i="1"/>
  <c r="E555" i="1"/>
  <c r="B555" i="1"/>
  <c r="E483" i="1"/>
  <c r="B483" i="1"/>
  <c r="E636" i="1"/>
  <c r="B636" i="1"/>
  <c r="E482" i="1"/>
  <c r="B482" i="1"/>
  <c r="E125" i="1"/>
  <c r="B125" i="1"/>
  <c r="E734" i="1"/>
  <c r="B734" i="1"/>
  <c r="E45" i="1"/>
  <c r="B45" i="1"/>
  <c r="E434" i="1"/>
  <c r="B434" i="1"/>
  <c r="E433" i="1"/>
  <c r="B433" i="1"/>
  <c r="E44" i="1"/>
  <c r="B44" i="1"/>
  <c r="E278" i="1"/>
  <c r="B278" i="1"/>
  <c r="E554" i="1"/>
  <c r="B554" i="1"/>
  <c r="E124" i="1"/>
  <c r="B124" i="1"/>
  <c r="E43" i="1"/>
  <c r="B43" i="1"/>
  <c r="E123" i="1"/>
  <c r="B123" i="1"/>
  <c r="E553" i="1"/>
  <c r="B553" i="1"/>
  <c r="E552" i="1"/>
  <c r="B552" i="1"/>
  <c r="E551" i="1"/>
  <c r="B551" i="1"/>
  <c r="E122" i="1"/>
  <c r="B122" i="1"/>
  <c r="E635" i="1"/>
  <c r="B635" i="1"/>
  <c r="E481" i="1"/>
  <c r="B481" i="1"/>
  <c r="E376" i="1"/>
  <c r="B376" i="1"/>
  <c r="E375" i="1"/>
  <c r="B375" i="1"/>
  <c r="E195" i="1"/>
  <c r="B195" i="1"/>
  <c r="E733" i="1"/>
  <c r="B733" i="1"/>
  <c r="E374" i="1"/>
  <c r="B374" i="1"/>
  <c r="E42" i="1"/>
  <c r="B42" i="1"/>
  <c r="E41" i="1"/>
  <c r="B41" i="1"/>
  <c r="E373" i="1"/>
  <c r="B373" i="1"/>
  <c r="E372" i="1"/>
  <c r="B372" i="1"/>
  <c r="E40" i="1"/>
  <c r="B40" i="1"/>
  <c r="E550" i="1"/>
  <c r="B550" i="1"/>
  <c r="E121" i="1"/>
  <c r="B121" i="1"/>
  <c r="E732" i="1"/>
  <c r="B732" i="1"/>
  <c r="E634" i="1"/>
  <c r="B634" i="1"/>
  <c r="E549" i="1"/>
  <c r="B549" i="1"/>
  <c r="E277" i="1"/>
  <c r="B277" i="1"/>
  <c r="E371" i="1"/>
  <c r="B371" i="1"/>
  <c r="E731" i="1"/>
  <c r="B731" i="1"/>
  <c r="E120" i="1"/>
  <c r="B120" i="1"/>
  <c r="E480" i="1"/>
  <c r="B480" i="1"/>
  <c r="E633" i="1"/>
  <c r="B633" i="1"/>
  <c r="E632" i="1"/>
  <c r="B632" i="1"/>
  <c r="E119" i="1"/>
  <c r="B119" i="1"/>
  <c r="E118" i="1"/>
  <c r="B118" i="1"/>
  <c r="E730" i="1"/>
  <c r="B730" i="1"/>
  <c r="E276" i="1"/>
  <c r="B276" i="1"/>
  <c r="E39" i="1"/>
  <c r="B39" i="1"/>
  <c r="E370" i="1"/>
  <c r="B370" i="1"/>
  <c r="E548" i="1"/>
  <c r="B548" i="1"/>
  <c r="E631" i="1"/>
  <c r="B631" i="1"/>
  <c r="E369" i="1"/>
  <c r="B369" i="1"/>
  <c r="E479" i="1"/>
  <c r="B479" i="1"/>
  <c r="E729" i="1"/>
  <c r="B729" i="1"/>
  <c r="E38" i="1"/>
  <c r="B38" i="1"/>
  <c r="E547" i="1"/>
  <c r="B547" i="1"/>
  <c r="E117" i="1"/>
  <c r="B117" i="1"/>
  <c r="E116" i="1"/>
  <c r="B116" i="1"/>
  <c r="E478" i="1"/>
  <c r="B478" i="1"/>
  <c r="E37" i="1"/>
  <c r="B37" i="1"/>
  <c r="E275" i="1"/>
  <c r="B275" i="1"/>
  <c r="E432" i="1"/>
  <c r="B432" i="1"/>
  <c r="E728" i="1"/>
  <c r="B728" i="1"/>
  <c r="E477" i="1"/>
  <c r="B477" i="1"/>
  <c r="E194" i="1"/>
  <c r="B194" i="1"/>
  <c r="E431" i="1"/>
  <c r="B431" i="1"/>
  <c r="E816" i="1"/>
  <c r="B816" i="1"/>
  <c r="E274" i="1"/>
  <c r="B274" i="1"/>
  <c r="E546" i="1"/>
  <c r="B546" i="1"/>
  <c r="E273" i="1"/>
  <c r="B273" i="1"/>
  <c r="E368" i="1"/>
  <c r="B368" i="1"/>
  <c r="E630" i="1"/>
  <c r="B630" i="1"/>
  <c r="E193" i="1"/>
  <c r="B193" i="1"/>
  <c r="E367" i="1"/>
  <c r="B367" i="1"/>
  <c r="E366" i="1"/>
  <c r="B366" i="1"/>
  <c r="E115" i="1"/>
  <c r="B115" i="1"/>
  <c r="E727" i="1"/>
  <c r="B727" i="1"/>
  <c r="E629" i="1"/>
  <c r="B629" i="1"/>
  <c r="E192" i="1"/>
  <c r="B192" i="1"/>
  <c r="E365" i="1"/>
  <c r="B365" i="1"/>
  <c r="E476" i="1"/>
  <c r="B476" i="1"/>
  <c r="E815" i="1"/>
  <c r="B815" i="1"/>
  <c r="E726" i="1"/>
  <c r="B726" i="1"/>
  <c r="E725" i="1"/>
  <c r="B725" i="1"/>
  <c r="E364" i="1"/>
  <c r="B364" i="1"/>
  <c r="E36" i="1"/>
  <c r="B36" i="1"/>
  <c r="E272" i="1"/>
  <c r="B272" i="1"/>
  <c r="E271" i="1"/>
  <c r="B271" i="1"/>
  <c r="E191" i="1"/>
  <c r="B191" i="1"/>
  <c r="E628" i="1"/>
  <c r="B628" i="1"/>
  <c r="E35" i="1"/>
  <c r="B35" i="1"/>
  <c r="E814" i="1"/>
  <c r="B814" i="1"/>
  <c r="E813" i="1"/>
  <c r="B813" i="1"/>
  <c r="E34" i="1"/>
  <c r="B34" i="1"/>
  <c r="E363" i="1"/>
  <c r="B363" i="1"/>
  <c r="E270" i="1"/>
  <c r="B270" i="1"/>
  <c r="E545" i="1"/>
  <c r="B545" i="1"/>
  <c r="E430" i="1"/>
  <c r="B430" i="1"/>
  <c r="E114" i="1"/>
  <c r="B114" i="1"/>
  <c r="E113" i="1"/>
  <c r="B113" i="1"/>
  <c r="E724" i="1"/>
  <c r="B724" i="1"/>
  <c r="E627" i="1"/>
  <c r="B627" i="1"/>
  <c r="E626" i="1"/>
  <c r="B626" i="1"/>
  <c r="E625" i="1"/>
  <c r="B625" i="1"/>
  <c r="E475" i="1"/>
  <c r="B475" i="1"/>
  <c r="E269" i="1"/>
  <c r="B269" i="1"/>
  <c r="E190" i="1"/>
  <c r="B190" i="1"/>
  <c r="E33" i="1"/>
  <c r="B33" i="1"/>
  <c r="E624" i="1"/>
  <c r="B624" i="1"/>
  <c r="E723" i="1"/>
  <c r="B723" i="1"/>
  <c r="E32" i="1"/>
  <c r="B32" i="1"/>
  <c r="E429" i="1"/>
  <c r="B429" i="1"/>
  <c r="E268" i="1"/>
  <c r="B268" i="1"/>
  <c r="E112" i="1"/>
  <c r="B112" i="1"/>
  <c r="E722" i="1"/>
  <c r="B722" i="1"/>
  <c r="E623" i="1"/>
  <c r="B623" i="1"/>
  <c r="E474" i="1"/>
  <c r="B474" i="1"/>
  <c r="E721" i="1"/>
  <c r="B721" i="1"/>
  <c r="E267" i="1"/>
  <c r="B267" i="1"/>
  <c r="E720" i="1"/>
  <c r="B720" i="1"/>
  <c r="E111" i="1"/>
  <c r="B111" i="1"/>
  <c r="E719" i="1"/>
  <c r="B719" i="1"/>
  <c r="E31" i="1"/>
  <c r="B31" i="1"/>
  <c r="E718" i="1"/>
  <c r="B718" i="1"/>
  <c r="E266" i="1"/>
  <c r="B266" i="1"/>
  <c r="E812" i="1"/>
  <c r="B812" i="1"/>
  <c r="E189" i="1"/>
  <c r="B189" i="1"/>
  <c r="E428" i="1"/>
  <c r="B428" i="1"/>
  <c r="E717" i="1"/>
  <c r="B717" i="1"/>
  <c r="E265" i="1"/>
  <c r="B265" i="1"/>
  <c r="E716" i="1"/>
  <c r="B716" i="1"/>
  <c r="E544" i="1"/>
  <c r="B544" i="1"/>
  <c r="E264" i="1"/>
  <c r="B264" i="1"/>
  <c r="E715" i="1"/>
  <c r="B715" i="1"/>
  <c r="E811" i="1"/>
  <c r="B811" i="1"/>
  <c r="E714" i="1"/>
  <c r="B714" i="1"/>
  <c r="E362" i="1"/>
  <c r="B362" i="1"/>
  <c r="E810" i="1"/>
  <c r="B810" i="1"/>
  <c r="E809" i="1"/>
  <c r="B809" i="1"/>
  <c r="E110" i="1"/>
  <c r="B110" i="1"/>
  <c r="E263" i="1"/>
  <c r="B263" i="1"/>
  <c r="E361" i="1"/>
  <c r="B361" i="1"/>
  <c r="E360" i="1"/>
  <c r="B360" i="1"/>
  <c r="E30" i="1"/>
  <c r="B30" i="1"/>
  <c r="E262" i="1"/>
  <c r="B262" i="1"/>
  <c r="E29" i="1"/>
  <c r="B29" i="1"/>
  <c r="E359" i="1"/>
  <c r="B359" i="1"/>
  <c r="E109" i="1"/>
  <c r="B109" i="1"/>
  <c r="E427" i="1"/>
  <c r="B427" i="1"/>
  <c r="E473" i="1"/>
  <c r="B473" i="1"/>
  <c r="E261" i="1"/>
  <c r="B261" i="1"/>
  <c r="E472" i="1"/>
  <c r="B472" i="1"/>
  <c r="E260" i="1"/>
  <c r="B260" i="1"/>
  <c r="E259" i="1"/>
  <c r="B259" i="1"/>
  <c r="E713" i="1"/>
  <c r="B713" i="1"/>
  <c r="E108" i="1"/>
  <c r="B108" i="1"/>
  <c r="E808" i="1"/>
  <c r="B808" i="1"/>
  <c r="E471" i="1"/>
  <c r="B471" i="1"/>
  <c r="E712" i="1"/>
  <c r="B712" i="1"/>
  <c r="E711" i="1"/>
  <c r="B711" i="1"/>
  <c r="E358" i="1"/>
  <c r="B358" i="1"/>
  <c r="E258" i="1"/>
  <c r="B258" i="1"/>
  <c r="E710" i="1"/>
  <c r="B710" i="1"/>
  <c r="E107" i="1"/>
  <c r="B107" i="1"/>
  <c r="E543" i="1"/>
  <c r="B543" i="1"/>
  <c r="E622" i="1"/>
  <c r="B622" i="1"/>
  <c r="E426" i="1"/>
  <c r="B426" i="1"/>
  <c r="E357" i="1"/>
  <c r="B357" i="1"/>
  <c r="E621" i="1"/>
  <c r="B621" i="1"/>
  <c r="E106" i="1"/>
  <c r="B106" i="1"/>
  <c r="E28" i="1"/>
  <c r="B28" i="1"/>
  <c r="E470" i="1"/>
  <c r="B470" i="1"/>
  <c r="E620" i="1"/>
  <c r="B620" i="1"/>
  <c r="E27" i="1"/>
  <c r="B27" i="1"/>
  <c r="E105" i="1"/>
  <c r="B105" i="1"/>
  <c r="E257" i="1"/>
  <c r="B257" i="1"/>
  <c r="E542" i="1"/>
  <c r="B542" i="1"/>
  <c r="E26" i="1"/>
  <c r="B26" i="1"/>
  <c r="E541" i="1"/>
  <c r="B541" i="1"/>
  <c r="E188" i="1"/>
  <c r="B188" i="1"/>
  <c r="E425" i="1"/>
  <c r="B425" i="1"/>
  <c r="E104" i="1"/>
  <c r="B104" i="1"/>
  <c r="E619" i="1"/>
  <c r="B619" i="1"/>
  <c r="E469" i="1"/>
  <c r="B469" i="1"/>
  <c r="E25" i="1"/>
  <c r="B25" i="1"/>
  <c r="E807" i="1"/>
  <c r="B807" i="1"/>
  <c r="E187" i="1"/>
  <c r="B187" i="1"/>
  <c r="E256" i="1"/>
  <c r="B256" i="1"/>
  <c r="E540" i="1"/>
  <c r="B540" i="1"/>
  <c r="E424" i="1"/>
  <c r="B424" i="1"/>
  <c r="E539" i="1"/>
  <c r="B539" i="1"/>
  <c r="E618" i="1"/>
  <c r="B618" i="1"/>
  <c r="E24" i="1"/>
  <c r="B24" i="1"/>
  <c r="E709" i="1"/>
  <c r="B709" i="1"/>
  <c r="E806" i="1"/>
  <c r="B806" i="1"/>
  <c r="E103" i="1"/>
  <c r="B103" i="1"/>
  <c r="E805" i="1"/>
  <c r="B805" i="1"/>
  <c r="E102" i="1"/>
  <c r="B102" i="1"/>
  <c r="E186" i="1"/>
  <c r="B186" i="1"/>
  <c r="E468" i="1"/>
  <c r="B468" i="1"/>
  <c r="E255" i="1"/>
  <c r="B255" i="1"/>
  <c r="E23" i="1"/>
  <c r="B23" i="1"/>
  <c r="E356" i="1"/>
  <c r="B356" i="1"/>
  <c r="E101" i="1"/>
  <c r="B101" i="1"/>
  <c r="E708" i="1"/>
  <c r="B708" i="1"/>
  <c r="E707" i="1"/>
  <c r="B707" i="1"/>
  <c r="E100" i="1"/>
  <c r="B100" i="1"/>
  <c r="E423" i="1"/>
  <c r="B423" i="1"/>
  <c r="E467" i="1"/>
  <c r="B467" i="1"/>
  <c r="E538" i="1"/>
  <c r="B538" i="1"/>
  <c r="E706" i="1"/>
  <c r="B706" i="1"/>
  <c r="E617" i="1"/>
  <c r="B617" i="1"/>
  <c r="E355" i="1"/>
  <c r="B355" i="1"/>
  <c r="E705" i="1"/>
  <c r="B705" i="1"/>
  <c r="E254" i="1"/>
  <c r="B254" i="1"/>
  <c r="E616" i="1"/>
  <c r="B616" i="1"/>
  <c r="E466" i="1"/>
  <c r="B466" i="1"/>
  <c r="E22" i="1"/>
  <c r="B22" i="1"/>
  <c r="E615" i="1"/>
  <c r="B615" i="1"/>
  <c r="E99" i="1"/>
  <c r="B99" i="1"/>
  <c r="E98" i="1"/>
  <c r="B98" i="1"/>
  <c r="E253" i="1"/>
  <c r="B253" i="1"/>
  <c r="E185" i="1"/>
  <c r="B185" i="1"/>
  <c r="E614" i="1"/>
  <c r="B614" i="1"/>
  <c r="E804" i="1"/>
  <c r="B804" i="1"/>
  <c r="E422" i="1"/>
  <c r="B422" i="1"/>
  <c r="E704" i="1"/>
  <c r="B704" i="1"/>
  <c r="E21" i="1"/>
  <c r="B21" i="1"/>
  <c r="E354" i="1"/>
  <c r="B354" i="1"/>
  <c r="E703" i="1"/>
  <c r="B703" i="1"/>
  <c r="E252" i="1"/>
  <c r="B252" i="1"/>
  <c r="E465" i="1"/>
  <c r="B465" i="1"/>
  <c r="E613" i="1"/>
  <c r="B613" i="1"/>
  <c r="E20" i="1"/>
  <c r="B20" i="1"/>
  <c r="E19" i="1"/>
  <c r="B19" i="1"/>
  <c r="E251" i="1"/>
  <c r="B251" i="1"/>
  <c r="E184" i="1"/>
  <c r="B184" i="1"/>
  <c r="E183" i="1"/>
  <c r="B183" i="1"/>
  <c r="E537" i="1"/>
  <c r="B537" i="1"/>
  <c r="E702" i="1"/>
  <c r="B702" i="1"/>
  <c r="E18" i="1"/>
  <c r="B18" i="1"/>
  <c r="E701" i="1"/>
  <c r="B701" i="1"/>
  <c r="E612" i="1"/>
  <c r="B612" i="1"/>
  <c r="E353" i="1"/>
  <c r="B353" i="1"/>
  <c r="E700" i="1"/>
  <c r="B700" i="1"/>
  <c r="E699" i="1"/>
  <c r="B699" i="1"/>
  <c r="E182" i="1"/>
  <c r="B182" i="1"/>
  <c r="E17" i="1"/>
  <c r="B17" i="1"/>
  <c r="E352" i="1"/>
  <c r="B352" i="1"/>
  <c r="E464" i="1"/>
  <c r="B464" i="1"/>
  <c r="E463" i="1"/>
  <c r="B463" i="1"/>
  <c r="E421" i="1"/>
  <c r="B421" i="1"/>
  <c r="E462" i="1"/>
  <c r="B462" i="1"/>
  <c r="E181" i="1"/>
  <c r="B181" i="1"/>
  <c r="E351" i="1"/>
  <c r="B351" i="1"/>
  <c r="E350" i="1"/>
  <c r="B350" i="1"/>
  <c r="E461" i="1"/>
  <c r="B461" i="1"/>
  <c r="E97" i="1"/>
  <c r="B97" i="1"/>
  <c r="E250" i="1"/>
  <c r="B250" i="1"/>
  <c r="E420" i="1"/>
  <c r="B420" i="1"/>
  <c r="E419" i="1"/>
  <c r="B419" i="1"/>
  <c r="E698" i="1"/>
  <c r="B698" i="1"/>
  <c r="E16" i="1"/>
  <c r="B16" i="1"/>
  <c r="E96" i="1"/>
  <c r="B96" i="1"/>
  <c r="E95" i="1"/>
  <c r="B95" i="1"/>
  <c r="E611" i="1"/>
  <c r="B611" i="1"/>
  <c r="E803" i="1"/>
  <c r="B803" i="1"/>
  <c r="E536" i="1"/>
  <c r="B536" i="1"/>
  <c r="E610" i="1"/>
  <c r="B610" i="1"/>
  <c r="E697" i="1"/>
  <c r="B697" i="1"/>
  <c r="E180" i="1"/>
  <c r="B180" i="1"/>
  <c r="E696" i="1"/>
  <c r="B696" i="1"/>
  <c r="E179" i="1"/>
  <c r="B179" i="1"/>
  <c r="E609" i="1"/>
  <c r="B609" i="1"/>
  <c r="E460" i="1"/>
  <c r="B460" i="1"/>
  <c r="E535" i="1"/>
  <c r="B535" i="1"/>
  <c r="E534" i="1"/>
  <c r="B534" i="1"/>
  <c r="E94" i="1"/>
  <c r="B94" i="1"/>
  <c r="E608" i="1"/>
  <c r="B608" i="1"/>
  <c r="E802" i="1"/>
  <c r="B802" i="1"/>
  <c r="E15" i="1"/>
  <c r="B15" i="1"/>
  <c r="E801" i="1"/>
  <c r="B801" i="1"/>
  <c r="E249" i="1"/>
  <c r="B249" i="1"/>
  <c r="E800" i="1"/>
  <c r="B800" i="1"/>
  <c r="E533" i="1"/>
  <c r="B533" i="1"/>
  <c r="E459" i="1"/>
  <c r="B459" i="1"/>
  <c r="E349" i="1"/>
  <c r="B349" i="1"/>
  <c r="E799" i="1"/>
  <c r="B799" i="1"/>
  <c r="E607" i="1"/>
  <c r="B607" i="1"/>
  <c r="E348" i="1"/>
  <c r="B348" i="1"/>
  <c r="E93" i="1"/>
  <c r="B93" i="1"/>
  <c r="E248" i="1"/>
  <c r="B248" i="1"/>
  <c r="E347" i="1"/>
  <c r="B347" i="1"/>
  <c r="E458" i="1"/>
  <c r="B458" i="1"/>
  <c r="E346" i="1"/>
  <c r="B346" i="1"/>
  <c r="E695" i="1"/>
  <c r="B695" i="1"/>
  <c r="E532" i="1"/>
  <c r="B532" i="1"/>
  <c r="E345" i="1"/>
  <c r="B345" i="1"/>
  <c r="E247" i="1"/>
  <c r="B247" i="1"/>
  <c r="E246" i="1"/>
  <c r="B246" i="1"/>
  <c r="E14" i="1"/>
  <c r="B14" i="1"/>
  <c r="E531" i="1"/>
  <c r="B531" i="1"/>
  <c r="E344" i="1"/>
  <c r="B344" i="1"/>
  <c r="E245" i="1"/>
  <c r="B245" i="1"/>
  <c r="E244" i="1"/>
  <c r="B244" i="1"/>
  <c r="E530" i="1"/>
  <c r="B530" i="1"/>
  <c r="E343" i="1"/>
  <c r="B343" i="1"/>
  <c r="E13" i="1"/>
  <c r="B13" i="1"/>
  <c r="E243" i="1"/>
  <c r="B243" i="1"/>
  <c r="E798" i="1"/>
  <c r="B798" i="1"/>
  <c r="E342" i="1"/>
  <c r="B342" i="1"/>
  <c r="E92" i="1"/>
  <c r="B92" i="1"/>
  <c r="E606" i="1"/>
  <c r="B606" i="1"/>
  <c r="E341" i="1"/>
  <c r="B341" i="1"/>
  <c r="E529" i="1"/>
  <c r="B529" i="1"/>
  <c r="E694" i="1"/>
  <c r="B694" i="1"/>
  <c r="E340" i="1"/>
  <c r="B340" i="1"/>
  <c r="E797" i="1"/>
  <c r="B797" i="1"/>
  <c r="E339" i="1"/>
  <c r="B339" i="1"/>
  <c r="E796" i="1"/>
  <c r="B796" i="1"/>
  <c r="E338" i="1"/>
  <c r="B338" i="1"/>
  <c r="E337" i="1"/>
  <c r="B337" i="1"/>
  <c r="E12" i="1"/>
  <c r="B12" i="1"/>
  <c r="E528" i="1"/>
  <c r="B528" i="1"/>
  <c r="E795" i="1"/>
  <c r="B795" i="1"/>
  <c r="E336" i="1"/>
  <c r="B336" i="1"/>
  <c r="E91" i="1"/>
  <c r="B91" i="1"/>
  <c r="E527" i="1"/>
  <c r="B527" i="1"/>
  <c r="E178" i="1"/>
  <c r="B178" i="1"/>
  <c r="E693" i="1"/>
  <c r="B693" i="1"/>
  <c r="E11" i="1"/>
  <c r="B11" i="1"/>
  <c r="E526" i="1"/>
  <c r="B526" i="1"/>
  <c r="E177" i="1"/>
  <c r="B177" i="1"/>
  <c r="E692" i="1"/>
  <c r="B692" i="1"/>
  <c r="E691" i="1"/>
  <c r="B691" i="1"/>
  <c r="E90" i="1"/>
  <c r="B90" i="1"/>
  <c r="E525" i="1"/>
  <c r="B525" i="1"/>
  <c r="E418" i="1"/>
  <c r="B418" i="1"/>
  <c r="E605" i="1"/>
  <c r="B605" i="1"/>
  <c r="E242" i="1"/>
  <c r="B242" i="1"/>
  <c r="E241" i="1"/>
  <c r="B241" i="1"/>
  <c r="E604" i="1"/>
  <c r="B604" i="1"/>
  <c r="E10" i="1"/>
  <c r="B10" i="1"/>
  <c r="E603" i="1"/>
  <c r="B603" i="1"/>
  <c r="E417" i="1"/>
  <c r="B417" i="1"/>
  <c r="E240" i="1"/>
  <c r="B240" i="1"/>
  <c r="E9" i="1"/>
  <c r="B9" i="1"/>
  <c r="E416" i="1"/>
  <c r="B416" i="1"/>
  <c r="E690" i="1"/>
  <c r="B690" i="1"/>
  <c r="E8" i="1"/>
  <c r="B8" i="1"/>
  <c r="E335" i="1"/>
  <c r="B335" i="1"/>
  <c r="E689" i="1"/>
  <c r="B689" i="1"/>
  <c r="E602" i="1"/>
  <c r="B602" i="1"/>
  <c r="E176" i="1"/>
  <c r="B176" i="1"/>
  <c r="E601" i="1"/>
  <c r="B601" i="1"/>
  <c r="E688" i="1"/>
  <c r="B688" i="1"/>
  <c r="E524" i="1"/>
  <c r="B524" i="1"/>
  <c r="E239" i="1"/>
  <c r="B239" i="1"/>
  <c r="E238" i="1"/>
  <c r="B238" i="1"/>
  <c r="E237" i="1"/>
  <c r="B237" i="1"/>
  <c r="E687" i="1"/>
  <c r="B687" i="1"/>
  <c r="E794" i="1"/>
  <c r="B794" i="1"/>
  <c r="E236" i="1"/>
  <c r="B236" i="1"/>
  <c r="E686" i="1"/>
  <c r="B686" i="1"/>
  <c r="E457" i="1"/>
  <c r="B457" i="1"/>
  <c r="E7" i="1"/>
  <c r="B7" i="1"/>
  <c r="E415" i="1"/>
  <c r="B415" i="1"/>
  <c r="E600" i="1"/>
  <c r="B600" i="1"/>
  <c r="E523" i="1"/>
  <c r="B523" i="1"/>
  <c r="E599" i="1"/>
  <c r="B599" i="1"/>
  <c r="E456" i="1"/>
  <c r="B456" i="1"/>
  <c r="E175" i="1"/>
  <c r="B175" i="1"/>
  <c r="E334" i="1"/>
  <c r="B334" i="1"/>
  <c r="E522" i="1"/>
  <c r="B522" i="1"/>
  <c r="E235" i="1"/>
  <c r="B235" i="1"/>
  <c r="E685" i="1"/>
  <c r="B685" i="1"/>
  <c r="E793" i="1"/>
  <c r="B793" i="1"/>
  <c r="E6" i="1"/>
  <c r="B6" i="1"/>
  <c r="E333" i="1"/>
  <c r="B333" i="1"/>
  <c r="E521" i="1"/>
  <c r="B521" i="1"/>
  <c r="E89" i="1"/>
  <c r="B89" i="1"/>
  <c r="E5" i="1"/>
  <c r="B5" i="1"/>
  <c r="E455" i="1"/>
  <c r="B455" i="1"/>
  <c r="E684" i="1"/>
  <c r="B684" i="1"/>
  <c r="E332" i="1"/>
  <c r="B332" i="1"/>
  <c r="E4" i="1"/>
  <c r="B4" i="1"/>
  <c r="E234" i="1"/>
  <c r="B234" i="1"/>
  <c r="E683" i="1"/>
  <c r="B683" i="1"/>
  <c r="E454" i="1"/>
  <c r="B454" i="1"/>
  <c r="E233" i="1"/>
  <c r="B233" i="1"/>
  <c r="E520" i="1"/>
  <c r="B520" i="1"/>
  <c r="E598" i="1"/>
  <c r="B598" i="1"/>
  <c r="E174" i="1"/>
  <c r="B174" i="1"/>
  <c r="E173" i="1"/>
  <c r="B173" i="1"/>
  <c r="E331" i="1"/>
  <c r="B331" i="1"/>
  <c r="E519" i="1"/>
  <c r="B519" i="1"/>
  <c r="E597" i="1"/>
  <c r="B597" i="1"/>
  <c r="E88" i="1"/>
  <c r="B88" i="1"/>
  <c r="E453" i="1"/>
  <c r="B453" i="1"/>
  <c r="E518" i="1"/>
  <c r="B518" i="1"/>
  <c r="E682" i="1"/>
  <c r="B682" i="1"/>
  <c r="E172" i="1"/>
  <c r="B172" i="1"/>
  <c r="E232" i="1"/>
  <c r="B232" i="1"/>
  <c r="E681" i="1"/>
  <c r="B681" i="1"/>
  <c r="E792" i="1"/>
  <c r="B792" i="1"/>
  <c r="E330" i="1"/>
  <c r="B330" i="1"/>
  <c r="E452" i="1"/>
  <c r="B452" i="1"/>
  <c r="E791" i="1"/>
  <c r="B791" i="1"/>
  <c r="E414" i="1"/>
  <c r="B414" i="1"/>
  <c r="E329" i="1"/>
  <c r="B329" i="1"/>
  <c r="E680" i="1"/>
  <c r="B680" i="1"/>
  <c r="E679" i="1"/>
  <c r="B679" i="1"/>
  <c r="E87" i="1"/>
  <c r="B87" i="1"/>
</calcChain>
</file>

<file path=xl/sharedStrings.xml><?xml version="1.0" encoding="utf-8"?>
<sst xmlns="http://schemas.openxmlformats.org/spreadsheetml/2006/main" count="2881" uniqueCount="945">
  <si>
    <t>REPORTE DE PLANILLAS POR CONCEPTO</t>
  </si>
  <si>
    <t>Nro</t>
  </si>
  <si>
    <t>CODIGO</t>
  </si>
  <si>
    <t>APELLIDOS Y NOMBES</t>
  </si>
  <si>
    <t>ESTADO.PLANILLA</t>
  </si>
  <si>
    <t>COD.CATEGORIA</t>
  </si>
  <si>
    <t>NOMBRE.DEPENDENCIA</t>
  </si>
  <si>
    <t>AÑOS</t>
  </si>
  <si>
    <t>MESES</t>
  </si>
  <si>
    <t>DIAS</t>
  </si>
  <si>
    <t>ALVA-LOPEZ-FLORENTINO GERARDO</t>
  </si>
  <si>
    <t>ACTIVO</t>
  </si>
  <si>
    <t>FACULTAD DE ARQUITECTURA, URBANISMO Y ARTES</t>
  </si>
  <si>
    <t>ALVAREZ-ORTEGA-SYRA PATRICIA</t>
  </si>
  <si>
    <t>ANTEZANO-CHAVARRI-MILAGROS ALICIA</t>
  </si>
  <si>
    <t>ARIAS-AVILA-TERESA OCTAVIA</t>
  </si>
  <si>
    <t>BACA-GARCÍA-MANUEL</t>
  </si>
  <si>
    <t>BARRANTES-PEREZ-JULIA MILAGRO</t>
  </si>
  <si>
    <t>BARRIONUEVO-SANCHEZ DE MACHICAO-RAQUEL DARIA</t>
  </si>
  <si>
    <t>BEINGOLEA-DEL CARPIO-JOSE LUIS</t>
  </si>
  <si>
    <t>BENLLOCHPIQUER-CASTRO-JOSE ANTONIO</t>
  </si>
  <si>
    <t>BUSTAMANTE-DUEÑAS-ISIS</t>
  </si>
  <si>
    <t>CALDAS-TORRES VDA DE GUMPERT-PATRICIA HAYDEE</t>
  </si>
  <si>
    <t>CARDENAS-FLORES-CARMEN FLORELI</t>
  </si>
  <si>
    <t>CASTILLO-VASQUEZ-LUIS JOSE</t>
  </si>
  <si>
    <t>CHAPARRO-MENDEZ-JOSE ALEX</t>
  </si>
  <si>
    <t>CHAVEZ-PANDURO-SAMUEL ABDON</t>
  </si>
  <si>
    <t>CHILET-CAMA-SHIRLEY EMPERATRIZ</t>
  </si>
  <si>
    <t>SUSPENDIDA</t>
  </si>
  <si>
    <t>CHILET-CAMA-WILBER MANUEL</t>
  </si>
  <si>
    <t>CIRIANI-ESPEJO-PATRICIA CRISTINA</t>
  </si>
  <si>
    <t>CONTRERAS-GUEVARA-FANEL REGINA</t>
  </si>
  <si>
    <t>CRUZ-CABRERA-JOSE ISABEL</t>
  </si>
  <si>
    <t>DE LAS CASAS-OROZCO-LUIS FRANCISCO</t>
  </si>
  <si>
    <t>DIAZ-MANTILLA-CARLOS GUILLERMO</t>
  </si>
  <si>
    <t>DIAZ-DUEÑAS-JUAN JOSE</t>
  </si>
  <si>
    <t>DONGO-FERNANDEZ-CHRISTIAN OSIRIS</t>
  </si>
  <si>
    <t>ECHEGARAY-ORTEGA-DENNIS MARTIN</t>
  </si>
  <si>
    <t>FERNANDEZ DAVILA-ANAYA-CARLOS ALBERTO</t>
  </si>
  <si>
    <t>FERREYRA-LUQUE-MANUEL ALBERTO</t>
  </si>
  <si>
    <t>GARCIA-ALARCON-WALTER ROBERTO</t>
  </si>
  <si>
    <t>GONZALES-ARNAO-WALTER HECTOR</t>
  </si>
  <si>
    <t>GONZALEZ-QUIJANO-ALVARO FERNANDO</t>
  </si>
  <si>
    <t>GUZMAN-GARCIA-CARLOS ENRIQUE</t>
  </si>
  <si>
    <t>HERNANDEZ-KING-JANETH ROSSANA</t>
  </si>
  <si>
    <t>HINOJOSA-DELGADO-JUAN CARLOS</t>
  </si>
  <si>
    <t>ISHIYAMA-NIETO-VICTOR ALBERTO</t>
  </si>
  <si>
    <t>JIMENEZ-CAMPOS-VICTOR LUIS</t>
  </si>
  <si>
    <t>KRATEIL-FUENTES-ALEJANDRO SANTIAGO</t>
  </si>
  <si>
    <t>LEON PRADO-ALADZEME-CARLOS GADY</t>
  </si>
  <si>
    <t>LIBAQUE-SAENZ-ISAAC FRANCISCO</t>
  </si>
  <si>
    <t>LIMA-FUENTES-NOEMI GUADALUPE</t>
  </si>
  <si>
    <t>LOPEZ-ODRIA-MARIA CRISTINA</t>
  </si>
  <si>
    <t>LUDEÑA-URQUIZO-WILEY HERMILIO</t>
  </si>
  <si>
    <t>LUNA-SEQUEIROS-MIGUEL ANGEL</t>
  </si>
  <si>
    <t>MARZAL-SANCHEZ-MARIA VIRGINIA</t>
  </si>
  <si>
    <t>MEDINA-COSSIO-KENJI FRANZ</t>
  </si>
  <si>
    <t>MEJIA-LUCAR-LESTER</t>
  </si>
  <si>
    <t>MIGUEL-URDANIGA-HELBERT AUGUSTO</t>
  </si>
  <si>
    <t>MONTESINOS-RUIZ-LUIS FELIPE</t>
  </si>
  <si>
    <t>MONTORO-CAVERO-GLADYS EMPERATRIZ</t>
  </si>
  <si>
    <t>MONTORO-NEGRON-BARBARA ELIZABETH</t>
  </si>
  <si>
    <t>MONTOYA-UGARTE-MANUEL HECTOR</t>
  </si>
  <si>
    <t>MORALES-CERON-CARLOS ERNESTO</t>
  </si>
  <si>
    <t>MORALES-RUIZ-ARTURO MARCELINO</t>
  </si>
  <si>
    <t>MORALES-DELGADO-LUIS ENRIQUE</t>
  </si>
  <si>
    <t>MOREYRA-VIZCARRA-RONALD</t>
  </si>
  <si>
    <t>NAVARRO-GARMA-JULIO CESAR</t>
  </si>
  <si>
    <t>ORTIZ-AGAMA-ROBINSON CONSTANTINO</t>
  </si>
  <si>
    <t>ORTIZ DE ZEVALLOS-MADUEÑO-AUGUSTO FERNANDO</t>
  </si>
  <si>
    <t>OSORIO-HERMOZA-PAULO SIMON</t>
  </si>
  <si>
    <t>PACHECO-ACERO-ROSARIO ALICIA</t>
  </si>
  <si>
    <t>PADILLA-BENAVIDES-ABRAHAM</t>
  </si>
  <si>
    <t>PALACIOS-ROJAS-JUAN LUIS</t>
  </si>
  <si>
    <t>PRADO-LAU-LYDIA SOFIA</t>
  </si>
  <si>
    <t>QUIROZ-FARIAS-JOSE ANTONIO</t>
  </si>
  <si>
    <t>RAMOS-CEBREROS DE MONTEZUMA-VICTORIA</t>
  </si>
  <si>
    <t>RENGIFO-ZEVALLOS-LUIS ALBERTO</t>
  </si>
  <si>
    <t>ROSSI-CHANG-SUSANA ANGELICA</t>
  </si>
  <si>
    <t>SANCHEZ-CHUQUIMANTARI-ORLANDO</t>
  </si>
  <si>
    <t>SANTIVAÑEZ-PIMENTEL-MIGUEL ANGEL</t>
  </si>
  <si>
    <t>SHIGYO-KOBAYASHI DE SEGAMI-VIVIANA ROSA</t>
  </si>
  <si>
    <t>SOLDEVILLA-DEL PRADO-LUIS FILIBERTO</t>
  </si>
  <si>
    <t>TAGLE-ARGUMANIS-EDUARDO JESUS</t>
  </si>
  <si>
    <t>TELLO-PALACIOS-PEDRO JOSE</t>
  </si>
  <si>
    <t>VALDIVIA-LORO-ARTURO</t>
  </si>
  <si>
    <t>VARGAS-VIA-JOSE ANTONIO</t>
  </si>
  <si>
    <t>VASQUEZ-PRADA VDA.DE ROJAS-VILMA GLADYS</t>
  </si>
  <si>
    <t>VERA-LAHAYE-ELOY ESMARO</t>
  </si>
  <si>
    <t>VERGARA-MOTTA-MONSONI MARCELINO</t>
  </si>
  <si>
    <t>VIDAL-VALLADOLID-MIGUEL ANGEL</t>
  </si>
  <si>
    <t>VILLACORTA-SANTAMATO-LUIS ANDRES</t>
  </si>
  <si>
    <t>VILLENA-MAVILA-MANUEL FELIX</t>
  </si>
  <si>
    <t>YÁÑEZ-ASPILCUETA-VÍCTOR LUIS</t>
  </si>
  <si>
    <t>YONG-VELASCO-ADRIANA ELVIRA</t>
  </si>
  <si>
    <t>ZALDIVAR-SUAREZ-JORGE ALFONSO</t>
  </si>
  <si>
    <t>ABANTO-SILVA-DIMAS PERCY</t>
  </si>
  <si>
    <t>FACULTAD DE CIENCIAS</t>
  </si>
  <si>
    <t>ALARCON-CAVERO-HUGO ARTURO</t>
  </si>
  <si>
    <t>AMORETTI-VIDAL-JESUS ESTEBAN</t>
  </si>
  <si>
    <t>BAZAN-CABANILLAS-CARLOS ALBERTO</t>
  </si>
  <si>
    <t>BELTRAN-RAMIREZ-JHOSEP VICTORINO</t>
  </si>
  <si>
    <t>BROCCA-POBES-MANUEL ENRIQUE</t>
  </si>
  <si>
    <t>CANALES-GARCIA-PEDRO</t>
  </si>
  <si>
    <t>CARLOS-SALAZAR-MAX JORGE</t>
  </si>
  <si>
    <t>CASTILLO-RUIZ-OSCAR EDUARDO</t>
  </si>
  <si>
    <t>CASTILLO-OCAÑA-GUIDO JUVENAL</t>
  </si>
  <si>
    <t>CCANRE-SALAZAR-POLICARPO</t>
  </si>
  <si>
    <t>COMINA-BELLIDO-GERMAN YURI</t>
  </si>
  <si>
    <t>CONDOR-CUYUBAMBA-ELENA ALICIA</t>
  </si>
  <si>
    <t>CORTEZ-REYES-GREGORIO CUSTODIO</t>
  </si>
  <si>
    <t>CORZO-LUCIONI-ALBERTO</t>
  </si>
  <si>
    <t>DAMIAN-BRIONES-MARIA ANGELICA</t>
  </si>
  <si>
    <t>DAVILA-INGARUCA-MARCELINO EUSEBIO</t>
  </si>
  <si>
    <t>DIAZ-DOMINGUEZ-CARLOS MANUEL</t>
  </si>
  <si>
    <t>DIAZ-CHAVEZ-HENRY JOSE</t>
  </si>
  <si>
    <t>ECHEGARAY-CASTILLO-WILLIAM CARLOS</t>
  </si>
  <si>
    <t>ESCALANTE-DEL AGUILA-SEGUNDO FELIX</t>
  </si>
  <si>
    <t>ESTRADA-LOPEZ-WALTER FRANCISCO</t>
  </si>
  <si>
    <t>EYZAGUIRRE-GORVENIA-CARMEN ROSA</t>
  </si>
  <si>
    <t>FLORES-GARCES-JOSE AUGUSTO</t>
  </si>
  <si>
    <t>GARCIA-AVELINO-PILAR AMALIA</t>
  </si>
  <si>
    <t>GONTARUK-COLLQUE-HUGO CRISTHIAN</t>
  </si>
  <si>
    <t>GUIMARAY-HUERTA-HECTOR CARLOS</t>
  </si>
  <si>
    <t>GUTARRA-ESPINOZA-ABEL AURELIO</t>
  </si>
  <si>
    <t>HUAMANI-HUARANJA-DANIEL</t>
  </si>
  <si>
    <t>JACINTO-HERNANDEZ-CHRISTIAN RONALD</t>
  </si>
  <si>
    <t>JARA-HUANCA-FIDEL</t>
  </si>
  <si>
    <t>LA ROSA-OBANDO-LAURA BETZABE</t>
  </si>
  <si>
    <t>LA ROSA TORO-GOMEZ-ADOLFO</t>
  </si>
  <si>
    <t>LARA-AVILA-CESAR JESUS</t>
  </si>
  <si>
    <t>LEON-HILARIO-LUDWIN MISAEL</t>
  </si>
  <si>
    <t>LOPEZ-CISNEROS DE CASTILLO-ROSARIO CRISTINA</t>
  </si>
  <si>
    <t>LOPEZ-PINO-PATRICIA ROSARIO</t>
  </si>
  <si>
    <t>LORO-RAMIREZ-HECTOR RAUL</t>
  </si>
  <si>
    <t>LUYO-CAYCHO-CLEMENTE ALFREDO</t>
  </si>
  <si>
    <t>MAMANI-RODRIGUEZ-ZORAIDA EMPERATRIZ</t>
  </si>
  <si>
    <t>MANTILLA-NUÑEZ DE GONZALES-IRLA DORALIZA</t>
  </si>
  <si>
    <t>MARTINEZ-CHUNGA-RONALD RICARDO</t>
  </si>
  <si>
    <t>MAS-HUAMAN-RONALD JESUS</t>
  </si>
  <si>
    <t>MAYTA-GUILLERMO-JORGE ENRIQUE</t>
  </si>
  <si>
    <t>MAZA-MEJIA-ILY MARILU</t>
  </si>
  <si>
    <t>MELCHOR-ESPINOZA-VICTOR ANDRES</t>
  </si>
  <si>
    <t>MOLINA-FUERTES-JUAN OMAR</t>
  </si>
  <si>
    <t>MONTOYA-ZAVALETA-MODESTO EDILBERTO</t>
  </si>
  <si>
    <t>MORALES-GOMERO-JUAN CARLOS</t>
  </si>
  <si>
    <t>MUEDAS-TAIPE-GOLFER</t>
  </si>
  <si>
    <t>MUNGUIA-LA COTERA-JONATHAN ALFREDO</t>
  </si>
  <si>
    <t>NAVARRO-ROJAS-FRANK</t>
  </si>
  <si>
    <t>NAVARRO-HUAMANI-LUIS ALBERTO</t>
  </si>
  <si>
    <t>NUÑEZ-ITURRI-CIRO JAVIER</t>
  </si>
  <si>
    <t>NUÑEZ-MEDRANO-YURI</t>
  </si>
  <si>
    <t>OCAÑA-ANAYA-ELADIO TEOFILO</t>
  </si>
  <si>
    <t>ONCEBAY-SEGURA-CHARLIE OSCAR</t>
  </si>
  <si>
    <t>ORÉ-ALBORNOZ-ERNESTO</t>
  </si>
  <si>
    <t>OSORIO-UBALDO-JAIME</t>
  </si>
  <si>
    <t>OSTOS-CORDERO-BENITO LEONARDO</t>
  </si>
  <si>
    <t>PALACIOS-BALDEON-JOE ALBINO</t>
  </si>
  <si>
    <t>PANIZO-GARCIA-GONZALO</t>
  </si>
  <si>
    <t>PAREDES-CABREL-ALEJANDRO DANIEL</t>
  </si>
  <si>
    <t>PAREDES-SORIA-LEOPOLDO</t>
  </si>
  <si>
    <t>PAUCARCHUCO-MUZURRIETA-CARLOS RAUL</t>
  </si>
  <si>
    <t>PEREYRA-RAVINEZ-ORLANDO LUIS</t>
  </si>
  <si>
    <t>PEREZ-COLLANTES-RAFAEL DIEGO</t>
  </si>
  <si>
    <t>PETRICK-CASAGRANDE-SUSANA MARGARITA</t>
  </si>
  <si>
    <t>PICASSO-ESCOBAR-GINO ITALO</t>
  </si>
  <si>
    <t>QUIÑONES-ROBLES-MARCO ERNESTO</t>
  </si>
  <si>
    <t>QUIROZ-AGUINAGA-ULISES</t>
  </si>
  <si>
    <t>RAMIREZ-GUTIERREZ-ANGEL ENRIQUE</t>
  </si>
  <si>
    <t>RODRIGUEZ-RODRIGUEZ-JUAN MARTIN</t>
  </si>
  <si>
    <t>ROJAS-ESTELA-OSWALDO</t>
  </si>
  <si>
    <t>RUEDA-RAEZ-LUIS DANIEL</t>
  </si>
  <si>
    <t>RUIZ-MONTOYA-JOSE GABRIEL</t>
  </si>
  <si>
    <t>SANCHEZ-CORDOVA-HERIBERTO ABRAHAM</t>
  </si>
  <si>
    <t>SOLIS-VELIZ-JOSE LUIS</t>
  </si>
  <si>
    <t>SULCA-CHIPANA-JORGE JOEL</t>
  </si>
  <si>
    <t>TORPOCO-CARMEN-VIRGINIA ELIZABETH</t>
  </si>
  <si>
    <t>UGARTE-CHAMORRO-JOSE LUIS</t>
  </si>
  <si>
    <t>VALERA-PALACIOS-ANIBAL ABEL</t>
  </si>
  <si>
    <t>VIDALON-VIDALON-EDGARD</t>
  </si>
  <si>
    <t>VILLANUEVA-SANTOS-FELIX RICARDO</t>
  </si>
  <si>
    <t>VILLAVICENCIO-FERNANDEZ-HELMUTH</t>
  </si>
  <si>
    <t>AGUILAR-ZAVALA-JUAN DAVID</t>
  </si>
  <si>
    <t>FACULTAD DE INGENIERIA AMBIENTAL</t>
  </si>
  <si>
    <t>ALEJOS-ALTAMIRANO-CARLOS ALBERTO</t>
  </si>
  <si>
    <t>ALIAGA-MARTINEZ-MARIA PAULINA</t>
  </si>
  <si>
    <t>ARANA-LOPEZ-SARA ADELINA</t>
  </si>
  <si>
    <t>AYALA-LIMAYLLA-CHRISTIAN SAEL</t>
  </si>
  <si>
    <t>BECERRA-PAUCAR-ROSA AMPARO</t>
  </si>
  <si>
    <t>BEJARANO-GRANDEZ-OMAR</t>
  </si>
  <si>
    <t>CARRILLO-PACHECO-JAIME ERNESTO</t>
  </si>
  <si>
    <t>CASTAÑEDA-SALDAÑA-FRANCISCA BEATRIZ</t>
  </si>
  <si>
    <t>CERRON-PALOMINO-MARCO ALBERTO</t>
  </si>
  <si>
    <t>CHAPILLIQUEN-ALBAN-JOSE FERNANDO</t>
  </si>
  <si>
    <t>CHAVEZ-MUÑOZ-MARIO ARISTIDES</t>
  </si>
  <si>
    <t>CHAVEZ-ZEGARRA-FERNANDO JAVIER</t>
  </si>
  <si>
    <t>COLLAZOS-BELTRAN-JORGE IVAN</t>
  </si>
  <si>
    <t>CUETO-BURNEO-JOSE ADOLFO</t>
  </si>
  <si>
    <t>DELGADO-ACEVEDO-MILTON CLYDE</t>
  </si>
  <si>
    <t>DIAZ-AQUINO-GLADYS ERNESTINA</t>
  </si>
  <si>
    <t>GARAY-SIFUENTES-JUAN DE DIOS</t>
  </si>
  <si>
    <t>GONZALEZ-MADUEÑO-CONSUELO</t>
  </si>
  <si>
    <t>HERRERA-VEGA-HECTOR ALEXIS</t>
  </si>
  <si>
    <t>HUAMAN-VERA-JORGE LUIS</t>
  </si>
  <si>
    <t>HUARACA-QUISPE-LIDIA PRISILA</t>
  </si>
  <si>
    <t>HUILLCA-LEVA-PEDRO DAVID</t>
  </si>
  <si>
    <t>LLAGAS-CHAFLOQUE-WILMER ALBERTO</t>
  </si>
  <si>
    <t>MALDONADO-YACTAYO-VICTOR ANTONIO</t>
  </si>
  <si>
    <t>MARIN-HUACHACA-NELIDA SIMONA</t>
  </si>
  <si>
    <t>MARRUFO-SALDAÑA-LILIANA DEL ROSARIO</t>
  </si>
  <si>
    <t>MARTINEZ-VILA-ALVARO MARTIN</t>
  </si>
  <si>
    <t>MATOS-CALDAS-LIDIO ARMANDO</t>
  </si>
  <si>
    <t>MAUTINO-CANO-VALERY RENE</t>
  </si>
  <si>
    <t>MENDOZA-ROJAS-GILBERTO ALEJANDRO</t>
  </si>
  <si>
    <t>MIRANDA-ANTON-JORGE LUIS</t>
  </si>
  <si>
    <t>MONTESINOS-ECHENIQUE-ANGEL RAUL</t>
  </si>
  <si>
    <t>NAHUI-ORTIZ-JOHNNY PRUDENCIO</t>
  </si>
  <si>
    <t>NARCISO-CHAVEZ-JUAN EDGARDO</t>
  </si>
  <si>
    <t>OCONNOR-LA ROSA-ROBERTO JAVIER</t>
  </si>
  <si>
    <t>OLIVAREZ-VEGA-JORGE LUIS</t>
  </si>
  <si>
    <t>PANTIGOZO-LOAIZA-MARCO HERNAN</t>
  </si>
  <si>
    <t>PINCHE-LAURRE-CRISTOBAL</t>
  </si>
  <si>
    <t>QUISPE-OJEDA-TEODOSIO CELSO</t>
  </si>
  <si>
    <t>REQUENA-SANCHEZ-NORVIN PLUMIEER</t>
  </si>
  <si>
    <t>ROBLES-GARCIA-EUSEBIO</t>
  </si>
  <si>
    <t>ROMERO-CENTENO-ROMULO CRESENCIANO</t>
  </si>
  <si>
    <t>RUIZ-TEJEDO-NAZARIO ENRIQUE</t>
  </si>
  <si>
    <t>SALAZAR-GAVELAN-ROGER EDMUNDO</t>
  </si>
  <si>
    <t>SANCHEZ-MERLO-YURI MARCO</t>
  </si>
  <si>
    <t>SÁNCHEZ-TORRES-HEIDI ISABEL</t>
  </si>
  <si>
    <t>SIFUENTES-ORTECHO-JUAN MANUEL</t>
  </si>
  <si>
    <t>TAIPE-ROJAS-JAVIER ENRIQUE</t>
  </si>
  <si>
    <t>TELLO-CEBREROS-JORGE GILBERTO</t>
  </si>
  <si>
    <t>ULLILEN-MARCILLA-CAROLINA</t>
  </si>
  <si>
    <t>VALDIVIA-MALDONADO-PEDRO OSWALDO</t>
  </si>
  <si>
    <t>VALVERDE-CALDERON-ADRIANA</t>
  </si>
  <si>
    <t>VARAS-ROJAS-OSCAR HERNÁN</t>
  </si>
  <si>
    <t>VELASQUEZ-HUAMANI-JOSE WENDER</t>
  </si>
  <si>
    <t>VILLANUEVA-BENAVIDES-CARLOS ALBERTO</t>
  </si>
  <si>
    <t>VILLENA-CHAVEZ-JORGE ALBERTO</t>
  </si>
  <si>
    <t>YAYA-BEAS-ROSA ELENA</t>
  </si>
  <si>
    <t>YUPANQUI-PORRAS-BILMA AMPARO</t>
  </si>
  <si>
    <t>ZAPATA-PAYCO-ARTURO</t>
  </si>
  <si>
    <t>AGUILAR-BARDALES-ZENON</t>
  </si>
  <si>
    <t>FACULTAD DE INGENIERIA CIVIL</t>
  </si>
  <si>
    <t>ALTAMIRANO-MEDINA DE ZULOAGA-ROSA VICTORIA</t>
  </si>
  <si>
    <t>ALVA-HURTADO-JORGE ELIAS DOMINGO</t>
  </si>
  <si>
    <t>APOLINARIO-MORALES-EDWIN WILDER</t>
  </si>
  <si>
    <t>ARRIETA-FREYRE-JAVIER EDUARDO</t>
  </si>
  <si>
    <t>ASTETE-CHUQUICHAICO-ROLANDO GANDHI</t>
  </si>
  <si>
    <t>ATALA-ABAD-CESAR AUGUSTO</t>
  </si>
  <si>
    <t>ATALAYA-HARO-EDEN ORLANDO</t>
  </si>
  <si>
    <t>BARRAZA-BERNAOLA-JULIO CESAR</t>
  </si>
  <si>
    <t>BASUALDO-MONTES-SABINO POMPEYO</t>
  </si>
  <si>
    <t>BASURTO-PINAO-LADISLAO JESUS</t>
  </si>
  <si>
    <t>BURGOS-NAMUCHE-MARIBEL</t>
  </si>
  <si>
    <t>CACHAY-HUAMAN-RAFAEL</t>
  </si>
  <si>
    <t>CACHI-EUGENIO-DANE BRUCE</t>
  </si>
  <si>
    <t>CALDERON-HIJUMA-MIRTHA PATRICIA</t>
  </si>
  <si>
    <t>CALDERON-CAHUANA-DIANA LUCIA</t>
  </si>
  <si>
    <t>CAMPAÑA-TORO-ROBERTO LUIS</t>
  </si>
  <si>
    <t>CARDENAS-SAAVEDRA-FERNANDO</t>
  </si>
  <si>
    <t>CAVERO-TORRES-JUAN JAVIER</t>
  </si>
  <si>
    <t>CHIHUAN-GASPAR-RAYMUNDO ANTONIO</t>
  </si>
  <si>
    <t>CHUQUIVILCA-LOPEZ-PAVEL</t>
  </si>
  <si>
    <t>COLONIO-GARCIA-LUIS ALFREDO</t>
  </si>
  <si>
    <t>CORDOVA-JULCA-GUILLERMO ARTURO</t>
  </si>
  <si>
    <t>CRUZADO-QUIROZ-JULIO HERMAN</t>
  </si>
  <si>
    <t>DELGADO-CONTRERAS-GENARO ALFREDO JESUS</t>
  </si>
  <si>
    <t>DIAZ-FIGUEROA-MIGUEL AUGUSTO</t>
  </si>
  <si>
    <t>ESPINOZA-CCENTE-HECTOR</t>
  </si>
  <si>
    <t>ESTRADA-MENDOZA-MIGUEL LUIS</t>
  </si>
  <si>
    <t>ETO-CHERO-FANNY BEATRIZ</t>
  </si>
  <si>
    <t>EUSCATIGUE-ASENCIOS-MARDONIO PORFIRIO</t>
  </si>
  <si>
    <t>FERREYRA-MUJICA-JUAN RAMON</t>
  </si>
  <si>
    <t>FLORES-GONZALEZ-LEONARDO</t>
  </si>
  <si>
    <t>GALLARDO-TAPIA-JORGE LUIS</t>
  </si>
  <si>
    <t>GAMIO-ARISNABARRETA-LUIS EDUARDO</t>
  </si>
  <si>
    <t>GARCIA-MORI-EDWARD ANDREI</t>
  </si>
  <si>
    <t>GIBU-YAGUE-PATRICIA ISABEL</t>
  </si>
  <si>
    <t>GONZALES-HIJAR-LUIS SERAFIN</t>
  </si>
  <si>
    <t>GRANDEZ-VENTURA-WILDER FRANCISCO</t>
  </si>
  <si>
    <t>GUTIERREZ-LÁZARES-JOSÉ WILFREDO</t>
  </si>
  <si>
    <t>HERRERA-RAMIREZ-SERGIO ADALBERTO</t>
  </si>
  <si>
    <t>HIDALGO-GARCIA-ROGER</t>
  </si>
  <si>
    <t>HUAROTO-CASQUILLAS-ENRIQUE EDUARDO</t>
  </si>
  <si>
    <t>HUAYNALAYA-RASHUAMAN-MAX</t>
  </si>
  <si>
    <t>IPARRAGUIRRE-ORTIZ-CARLOS MANUEL</t>
  </si>
  <si>
    <t>KUROIWA-ZEVALLOS-JULIO MARTIN</t>
  </si>
  <si>
    <t>LAZARES-LA ROSA-LUIS FERNANDO</t>
  </si>
  <si>
    <t>LOZANO-COTERA-VLADEMIR ALCIDES</t>
  </si>
  <si>
    <t>MALDONADO-CONTRERAS-HUGO RODOLFO</t>
  </si>
  <si>
    <t>MALPICA-RODRIGUEZ-LIDIA NELLY</t>
  </si>
  <si>
    <t>MANCO-CESPEDES-LUIS FRANCISCO</t>
  </si>
  <si>
    <t>MASIAS-GUILLEN-JOSE CIPRIANO</t>
  </si>
  <si>
    <t>MATIAS-LEON-JOSE CARLOS</t>
  </si>
  <si>
    <t>MEJIA-UQUICHE-ALEXIS RICARDO</t>
  </si>
  <si>
    <t>MELCHOR-VIVANCO-MIGUEL MARTIN</t>
  </si>
  <si>
    <t>MIRANDA-HOSPINAL-OSCAR GUILLERMO</t>
  </si>
  <si>
    <t>MONTERO-CORDOVA-FRANCISCO ROLANDO</t>
  </si>
  <si>
    <t>MONTORO-CAVERO DE OCHOA-NORMA BEATRIZ</t>
  </si>
  <si>
    <t>MOROMI-NAKATA-ISABEL</t>
  </si>
  <si>
    <t>MOSQUERA-LEIVA-LUIS ALBERTO</t>
  </si>
  <si>
    <t>MOSQUERA-MAGUIÑA-DUANI EDITH</t>
  </si>
  <si>
    <t>NUÑEZ-SMITH-JORGE LUIS</t>
  </si>
  <si>
    <t>PARRA-MURRUGARRA-DENYS AMADOR</t>
  </si>
  <si>
    <t>PEREZ-COLLANTES-ROCIO DEL CARMEN</t>
  </si>
  <si>
    <t>PROAÑO-TATAJE-LUIS RICARDO</t>
  </si>
  <si>
    <t>QUINTANA-ALFARO-NOEMI LEOPOLDINA</t>
  </si>
  <si>
    <t>QUIROZ-TORRES-LUIS GABRIEL</t>
  </si>
  <si>
    <t>REYES-CUBAS-CARMEN MARTHA</t>
  </si>
  <si>
    <t>REYNA-SALAZAR-ROY ERICKSEN</t>
  </si>
  <si>
    <t>RIOS-VARA-JOSE FRANCISCO</t>
  </si>
  <si>
    <t>RIOS-SEGURA-JUAN GUILLERMO</t>
  </si>
  <si>
    <t>RIVAS-OYOLA-NILTON ERNESTO</t>
  </si>
  <si>
    <t>RODRIGUEZ-ZUBIATE-EDGAR</t>
  </si>
  <si>
    <t>RODRIGUEZ-CASTILLEJO-WALTER HERMOGENES</t>
  </si>
  <si>
    <t>RODRIGUEZ PRIETO-MATEO DE RODRIGUEZ-MARIA MERCEDES</t>
  </si>
  <si>
    <t>ROJAS-YUPANQUI-VICTOR POOL</t>
  </si>
  <si>
    <t>ROMERO-MACHUCA-FERNANDO MOISES</t>
  </si>
  <si>
    <t>SALAZAR-NEIRA-HUGO ENRIQUE</t>
  </si>
  <si>
    <t>SALGADO-CANAL-JOSE ANTONIO</t>
  </si>
  <si>
    <t>SALINAS-BASUALDO-RAFAEL ROLANDO</t>
  </si>
  <si>
    <t>SANCHEZ-MEZA-ROQUE ALBERTO</t>
  </si>
  <si>
    <t>LICENCIA SIN GOCE HAB</t>
  </si>
  <si>
    <t>SANTA MARIA-DAVILA-EDWARD</t>
  </si>
  <si>
    <t>SCALETTI-FARINA-HUGO VICTOR LUIS</t>
  </si>
  <si>
    <t>SERRATO-SANCHEZ-SEGUNDO BONIFACIO</t>
  </si>
  <si>
    <t>SHUAN-LUCAS-LUISA ESTHER</t>
  </si>
  <si>
    <t>SICCHE-GORDILLO-ANGELITA MERY</t>
  </si>
  <si>
    <t>SILVA-DAVILA-MARISA ROSANA</t>
  </si>
  <si>
    <t>TACZA-ZEVALLOS-JOHN NELINHO</t>
  </si>
  <si>
    <t>TANG-TAM-YUET WA</t>
  </si>
  <si>
    <t>TELLO-PALACIOS-GERMAN WALTER</t>
  </si>
  <si>
    <t>TORRES-ESTRELLA-FELIPE ANTONY</t>
  </si>
  <si>
    <t>ULLOA-VELASQUEZ-FELIX WILFREDO</t>
  </si>
  <si>
    <t>URIBE-SAAVEDRA-JORGE ELIAS</t>
  </si>
  <si>
    <t>VARGAS-RODRIGUEZ-LUIS HUGO</t>
  </si>
  <si>
    <t>VELASQUEZ-ROMERO-ARMANDO GREGORIO</t>
  </si>
  <si>
    <t>VILLEGAS-MARTINEZ-CARLOS ALBERTO</t>
  </si>
  <si>
    <t>ZAVALA-TOLEDO-CARLOS ALBERTO</t>
  </si>
  <si>
    <t>ZEDANO-CORNEJO-JULIO CESAR</t>
  </si>
  <si>
    <t>ACOSTA-DE LA CRUZ-PEDRO RAUL</t>
  </si>
  <si>
    <t>FACULTAD DE INGENIERIA DE INDUSTRIAL Y DE SISTEMAS</t>
  </si>
  <si>
    <t>AGÜERO-MAURICIO-ALFREDO ROLANDO</t>
  </si>
  <si>
    <t>ALCANTARA-MALCA-DANIEL ADOLFO</t>
  </si>
  <si>
    <t>ALVARADO-RODRIGUEZ-JOSE LUIS</t>
  </si>
  <si>
    <t>ANTAURCO-TRUJILLO-JESUS WALTER</t>
  </si>
  <si>
    <t>ARAMBULO-OSTOS-CARLOS EDUARDO</t>
  </si>
  <si>
    <t>BABA-NAKAO-LUIS</t>
  </si>
  <si>
    <t>BENITES-YARLEQUE-JOSE VALERIO</t>
  </si>
  <si>
    <t>BERMEO-CARRASCO-OSMAR ARNALDO</t>
  </si>
  <si>
    <t>BONIFACIO-CASTRO-ALEXANDER ABEL</t>
  </si>
  <si>
    <t>BORJA-ROSALES-RUBEN ARTURO</t>
  </si>
  <si>
    <t>BRAVO-QUISPE-ALDO ANTONIO</t>
  </si>
  <si>
    <t>BRINGAS-MASGO-ISAAC ERNESTO</t>
  </si>
  <si>
    <t>BRONCANO-TORRES-JUAN CARLOS</t>
  </si>
  <si>
    <t>CABALLERO-ORTIZ-JOSE ALBERTO</t>
  </si>
  <si>
    <t>CAICEDO-BUSTAMANTE-VICTOR ANTONIO</t>
  </si>
  <si>
    <t>CALIZAYA-NEIRA-PERCY ANGEL</t>
  </si>
  <si>
    <t>CALLO-MOSCOSO-LUIS ALBERTO</t>
  </si>
  <si>
    <t>CAMPANA-AÑASCO-RILDO</t>
  </si>
  <si>
    <t>CANCHANO-CARO-JAVIER TOLENTINO</t>
  </si>
  <si>
    <t>CAÑOTE-FAJARDO-PERCY VICTOR</t>
  </si>
  <si>
    <t>CERNA-VALDEZ-YARKO ALVARO</t>
  </si>
  <si>
    <t>CERNADES-GOMEZ-JESUS</t>
  </si>
  <si>
    <t>CHAFLOQUE-ELIAS-CARLOS ALBERTO</t>
  </si>
  <si>
    <t>CHAVARRI-ARCE-RAQUEL MARTHA</t>
  </si>
  <si>
    <t>CIEZA DE LEON-TUESTA-EDUARDO JOSE</t>
  </si>
  <si>
    <t>CORDOVA-NERI-TEODORO LUCIANO</t>
  </si>
  <si>
    <t>CRUZ-FIGUEROA-GUILLERMO ROLDAN</t>
  </si>
  <si>
    <t>EGUZQUIZA-FIGUEROA-MARIA ENERINA</t>
  </si>
  <si>
    <t>ESPINOZA-ESPINOZA-JOSE ALFREDO</t>
  </si>
  <si>
    <t>FALCONI-VASQUEZ-RODOLFO ELIAS</t>
  </si>
  <si>
    <t>FISFALEN-HUERTA-MARIO HEINRICH</t>
  </si>
  <si>
    <t>FLORES-CISNEROS-ERNESTO ROBINSON</t>
  </si>
  <si>
    <t>FUKUDA-KAGAMI-NANCY ELENA</t>
  </si>
  <si>
    <t>GUZMAN-YANGATO-JORGE FERNANDO</t>
  </si>
  <si>
    <t>HIROMOTO-HIROMOTO-FELIPE TSUTOMU</t>
  </si>
  <si>
    <t>HUAMAN-SANCHEZ-ALEJANDRO APOLINARIO</t>
  </si>
  <si>
    <t>HUAMANI-HUAMANI-GLORIA TERESITA</t>
  </si>
  <si>
    <t>HUANCA-SULLCA-VICTOR</t>
  </si>
  <si>
    <t>HUARCAYA-JUNES-ALEJANDRINA NELLY</t>
  </si>
  <si>
    <t>KALA-BEJAR-LOURDES CRISTINA</t>
  </si>
  <si>
    <t>KRAJNIK-STULIN-FRANCO LUCIANO</t>
  </si>
  <si>
    <t>LAU-CARRILLO DE ESPINOZA-CARMEN IVONNE</t>
  </si>
  <si>
    <t>LESCANO-AVILA-LUIS ALBERTO</t>
  </si>
  <si>
    <t>LEYTON-DIAZ-VICTOR ADOLFO</t>
  </si>
  <si>
    <t>LINARES-VALENCIA-JOSE ANTONIO</t>
  </si>
  <si>
    <t>LLANCCE-MONDRAGON DE ORDOÑEZ-LUISA</t>
  </si>
  <si>
    <t>LLANOS-PANDURO-JORGE DANIEL</t>
  </si>
  <si>
    <t>MEDINA-AQUINO-LUIS FELIPE</t>
  </si>
  <si>
    <t>MENDEZ-VALDIVIA-CELEDONIO</t>
  </si>
  <si>
    <t>MIRANDA-TORRES-CESAR AURELIO</t>
  </si>
  <si>
    <t>MONDRAGON-HERNANDEZ-MARGARITA DELICIA</t>
  </si>
  <si>
    <t>MORALES-CUELLAR-MERY NOEMI</t>
  </si>
  <si>
    <t>MUÑOZ-INGA-CARLOS</t>
  </si>
  <si>
    <t>OSORIO-MARUJO-BILMA ELIZABETH</t>
  </si>
  <si>
    <t>PARRA-OSORIO-HERNAN JULIO</t>
  </si>
  <si>
    <t>PUCCIO-QUEVEDO-BRUNO JUAN</t>
  </si>
  <si>
    <t>QUINTEROS-CHAVEZ-SILVIO</t>
  </si>
  <si>
    <t>RAMOS-MORENO-JAIME IGNACIO</t>
  </si>
  <si>
    <t>REYES-ACOSTA-ROSARIO</t>
  </si>
  <si>
    <t>REYNA-MONTEVERDE-TINO EDUARDO</t>
  </si>
  <si>
    <t>RIZABAL-FLORES-ELIANA CECILIA</t>
  </si>
  <si>
    <t>RODRIGUEZ-RAFAEL-GLEN DARIO</t>
  </si>
  <si>
    <t>RODRIGUEZ-ULLOA-RICARDO AURELIO</t>
  </si>
  <si>
    <t>ROJAS-MENDOZA-DORIS FANNY</t>
  </si>
  <si>
    <t>ROMERO-AQUINO-JUAN CARLOS</t>
  </si>
  <si>
    <t>RONDINEL-PINEDA-PETRA ELINE</t>
  </si>
  <si>
    <t>SALAS-CORDERO-ROCIO GUADALUPE</t>
  </si>
  <si>
    <t>SALCEDO-TORRES-JOAQUIN MAGNOT</t>
  </si>
  <si>
    <t>SANCHEZ-ESPINOZA-JAVIER CONCEPCION</t>
  </si>
  <si>
    <t>SEGURA-GARCIA-YOLANDA ADRIANA</t>
  </si>
  <si>
    <t>SOTELO-VILLENA-JUAN CARLOS</t>
  </si>
  <si>
    <t>TAIPE-ARIAS-JOHN EDISON</t>
  </si>
  <si>
    <t>UN JAN-LIAU HING-EMILIO ALBERTO</t>
  </si>
  <si>
    <t>VALDIVIA-MENDOZA-HECTOR GIOVANNY</t>
  </si>
  <si>
    <t>VALDIVIA-CAMACHO-GLORIA ESTHER</t>
  </si>
  <si>
    <t>VALLE-SANTOS-JOHN CLERK</t>
  </si>
  <si>
    <t>VASQUEZ-DOMINGUEZ-RIQUELMER APOLINAR</t>
  </si>
  <si>
    <t>VELARDE-CARPIO-MANUEL HELARF</t>
  </si>
  <si>
    <t>VILLANUEVA-HERRERA-JOSE ALBERTO</t>
  </si>
  <si>
    <t>ZAMORA-MONTERO-WALTER FERNANDO</t>
  </si>
  <si>
    <t>ZAMORA-YANSI-RICHARD ISMAEL</t>
  </si>
  <si>
    <t>ZARATE-OTAROLA-LEONIDAS BENITO</t>
  </si>
  <si>
    <t>ZULOAGA-ROTTA-LUIS ALBERTO</t>
  </si>
  <si>
    <t>ZUÑIGA-MERCADO-ANTONIO</t>
  </si>
  <si>
    <t>ADANIYA-HIGA-BEATRIZ JUANA</t>
  </si>
  <si>
    <t>FACULTAD DE INGENIERIA DE PETROLEO,GAS NATURAL Y PETROQUIMICA</t>
  </si>
  <si>
    <t>ARGUME-CHAVEZ-EDGARD AMERICO</t>
  </si>
  <si>
    <t>BARDALES-CRUZ-JORGE LUIS</t>
  </si>
  <si>
    <t>BARREDA-TAMAYO-SEBASTIAN ERNESTO</t>
  </si>
  <si>
    <t>BATALLA-OROSCO-CESAR AUGUSTO</t>
  </si>
  <si>
    <t>CASTRO-BARBARAN-SEGUNDO WENCESLAO</t>
  </si>
  <si>
    <t>CATAÑO-CAUTI-VICTOR FRANCISCO</t>
  </si>
  <si>
    <t>CESPEDES-MORANTE-JORGE BENIGNO</t>
  </si>
  <si>
    <t>COLAN-GARCIA-LUIS ALBERTO</t>
  </si>
  <si>
    <t>CORTEGANA-RUCOBA-OSCAR NOE</t>
  </si>
  <si>
    <t>DEL CASTILLO-RODRIGUEZ-LUIS ANTONIO</t>
  </si>
  <si>
    <t>DIAZ-MORALES-FEDERICO GILBERTO EFRAIN</t>
  </si>
  <si>
    <t>ENCARNACION-BERMUDEZ-NANCY OLIVETH</t>
  </si>
  <si>
    <t>EYZAGUIRRE-GORVENIA-LUZ DE FATIMA</t>
  </si>
  <si>
    <t>GARATE-CACERES-FRANCISCO HECTOR</t>
  </si>
  <si>
    <t>GONZALES-CRUZ-LUIS FELIPE</t>
  </si>
  <si>
    <t>GUTIERREZ-ORIHUELA-MARIANO YUSSEPI</t>
  </si>
  <si>
    <t>HUERTA-QUIÑONES-VICTOR ALEXEI</t>
  </si>
  <si>
    <t>INGALUQUE-ARAPA-JUAN ERNESTO</t>
  </si>
  <si>
    <t>LUJAN-BARQUERO-JESUS JORGE</t>
  </si>
  <si>
    <t>LUJAN-RUIZ-CESAR AUGUSTO</t>
  </si>
  <si>
    <t>MANRIQUE-OLORTEGUI-HERBERT JHORDY</t>
  </si>
  <si>
    <t>MEZA-CAREY-MARITZA SOLEDAD</t>
  </si>
  <si>
    <t>MIREZ-TARRILLO-JORGE LUIS</t>
  </si>
  <si>
    <t>NAVARRO-CORNEJO-WILLIAM ROMEO</t>
  </si>
  <si>
    <t>OLCESE-HUERTA-MANUEL DANIEL</t>
  </si>
  <si>
    <t>PALACIOS-TOLEDO-CAROLA IRIS</t>
  </si>
  <si>
    <t>PAULINO-ROMERO-JORGE SIMON</t>
  </si>
  <si>
    <t>PISSANI-CASTRO-OSCAR DANTE VICTORIO</t>
  </si>
  <si>
    <t>POMA-FLORES-KARIM LIDIA</t>
  </si>
  <si>
    <t>QUISPE-ASCENCIO-VIRGINIA IGNACIA</t>
  </si>
  <si>
    <t>RAMOS-ROJAS-JOSE GABRIEL</t>
  </si>
  <si>
    <t>RAMOS-VASQUEZ-WILLIAMS JAVIER</t>
  </si>
  <si>
    <t>ROMERO-PARIONA-TEOFILO</t>
  </si>
  <si>
    <t>RUIZ-GARAY-CARLOS ALBERTO</t>
  </si>
  <si>
    <t>RUIZ-DIAZ-MARLENE CECILIA</t>
  </si>
  <si>
    <t>SINCHITULLO-GOMEZ-JOSEPH JEAN</t>
  </si>
  <si>
    <t>VIERA-PALACIOS-MARIA ROSARIO</t>
  </si>
  <si>
    <t>AGÜERO-CORREA-ANGEL ALEJANDRO</t>
  </si>
  <si>
    <t>FACULTAD DE INGENIERIA ECONOMICA, ESTADISTICA Y CIENCIAS SOCIALES</t>
  </si>
  <si>
    <t>AGUINAGA-RISCO-CLOVIS POMPEYO</t>
  </si>
  <si>
    <t>ALTAMIZA-CHAVEZ-GUSTAVO ALBERTO</t>
  </si>
  <si>
    <t>ALVAREZ-ROJAS-CIRILO</t>
  </si>
  <si>
    <t>ARANDA-DIOSES-EDITH TEODORA</t>
  </si>
  <si>
    <t>ARNAO-RONDAN-RAYMUNDO ILDEFONZO</t>
  </si>
  <si>
    <t>CAMERO-JIMENEZ-JOSE WILLIAM</t>
  </si>
  <si>
    <t>CAPARO-CORONADO-RAFAEL JIMMY</t>
  </si>
  <si>
    <t>CARRANZA-ELGUERA-VICTOR HUMBERTO</t>
  </si>
  <si>
    <t>CERDA-HERNANDEZ-JOSE JAVIER</t>
  </si>
  <si>
    <t>CERVANTES-GRUNDY-CARLOS JAIME</t>
  </si>
  <si>
    <t>CETRARO-CARDO-CESAR</t>
  </si>
  <si>
    <t>CHACON-MONTALVAN-ERICK ALBACHARRO</t>
  </si>
  <si>
    <t>CHUNG-CHING-RICARDO ALEJANDRO</t>
  </si>
  <si>
    <t>CONTRERAS-CONTRERAS-JUAN SANTIAGO</t>
  </si>
  <si>
    <t>CORONEL-CASTILLO-ERIC GUSTAVO</t>
  </si>
  <si>
    <t>CUENTAS-VARGAS-SERGIO ENRIQUE</t>
  </si>
  <si>
    <t>DIAZ-BUSTOS-PEDRO JOSE</t>
  </si>
  <si>
    <t>DURAND-PARDO-RUBEN ENRIQUE</t>
  </si>
  <si>
    <t>ESPINOZA-SUAREZ-JOSE BERNARDO</t>
  </si>
  <si>
    <t>EUFRACIO-LEON-DARWIN TEOFILO</t>
  </si>
  <si>
    <t>EVANGELISTA-PADILLA-EVELYN KATTY</t>
  </si>
  <si>
    <t>GOMEZ-ESPINOZA-LUISA VIVIANA</t>
  </si>
  <si>
    <t>GREGORIO-CHAVEZ-FIDENCIO EDMUNDO</t>
  </si>
  <si>
    <t>HUAMAN-VILLAVICENCIO-EDUARDO DANIEL</t>
  </si>
  <si>
    <t>HUMALA-TASSO-ULISES</t>
  </si>
  <si>
    <t>JABO-BERECHE-ROSA FABIOLA</t>
  </si>
  <si>
    <t>JUSCAMAYTA-TINEO-NERIO HERMES</t>
  </si>
  <si>
    <t>LANDEO-DE LA TORRE-ALFONSO GILBERTO</t>
  </si>
  <si>
    <t>LOAYZA-BERAMENDI-FELIPE</t>
  </si>
  <si>
    <t>MACAVILCA-TELLO-BARTOLOME</t>
  </si>
  <si>
    <t>MACHICAO-BEJAR-NILTON HORACIO</t>
  </si>
  <si>
    <t>MARTINEZ-CCALLATA-RAUL</t>
  </si>
  <si>
    <t>MEJIA-RODRIGO-EDWIN OCTAVIO</t>
  </si>
  <si>
    <t>MILLONES-OLANO-JOSE ENRIQUE</t>
  </si>
  <si>
    <t>MUÑOZ-RUEDA-ANA VICTORIA</t>
  </si>
  <si>
    <t>OLIVARES-MUÑOZ-PEDRO</t>
  </si>
  <si>
    <t>ORDOÑEZ-MERCADO-ALIPIO FRANCISCO</t>
  </si>
  <si>
    <t>PALACIOS-SAMANIEGO-LEONCIO GABRIEL</t>
  </si>
  <si>
    <t>PAREDES-CRUZ-IBAR GERARDO</t>
  </si>
  <si>
    <t>PEREYRA-NOLASCO-FELIPE GUILLERMO</t>
  </si>
  <si>
    <t>PEZO-PAREDES-ALFREDO FLORENTINO</t>
  </si>
  <si>
    <t>PINEDO-SANCHEZ-AMELIDA</t>
  </si>
  <si>
    <t>QUEZADA-LUCIO-NEL</t>
  </si>
  <si>
    <t>QUIJADA-ORELLANA-EDWARD SAMUEL</t>
  </si>
  <si>
    <t>RISCO-FRANCO-CARLOS ALVARO</t>
  </si>
  <si>
    <t>RODRIGUEZ-BACA-VICTOR HORACIO</t>
  </si>
  <si>
    <t>RUIZ-OLORTE-DEMETRIO ANTONIO</t>
  </si>
  <si>
    <t>SALINAS-ORTIZ-JOSE ADRIAN</t>
  </si>
  <si>
    <t>SAMILLAN-INCIO-CESAR</t>
  </si>
  <si>
    <t>SANCHEZ-CAMINO-ALBERTO FRANCISCO</t>
  </si>
  <si>
    <t>SANCHEZ-ALVARADO-LUIS ALBERTO</t>
  </si>
  <si>
    <t>SANCHEZ-PORTUGAL-RICHARD MANUEL</t>
  </si>
  <si>
    <t>SICCHAR-VALDEZ-JAVIER ENRIQUE</t>
  </si>
  <si>
    <t>SIKOV---ANNA</t>
  </si>
  <si>
    <t>SOLORZANO-VARGAS-JULIO CESAR</t>
  </si>
  <si>
    <t>TENORIO-URCIA-JUAN JOSE</t>
  </si>
  <si>
    <t>ULLOA-VELASQUEZ-MELCHOR EMILIO</t>
  </si>
  <si>
    <t>URQUIAGA-SALAZAR-JUAN CARLOS</t>
  </si>
  <si>
    <t>VARGAS-TRUJILLO-CARLOS ENRIQUE</t>
  </si>
  <si>
    <t>VASQUEZ-RODRIGUEZ-RAFAEL</t>
  </si>
  <si>
    <t>VERA-RONCALLA-CESAR ANIBAL</t>
  </si>
  <si>
    <t>VILLALOBOS-SOLANO-JUAN JAVIER</t>
  </si>
  <si>
    <t>YSIQUE-QUESQUEN-JOSE WALTER</t>
  </si>
  <si>
    <t>ZAVALETA-HUACCHA-WILLIAM FERNANDO</t>
  </si>
  <si>
    <t>ZELA-MORAYA-WILMER</t>
  </si>
  <si>
    <t>AGUILAR-QUIROZ-RICARDO ARTURO</t>
  </si>
  <si>
    <t>FACULTAD DE INGENIERIA ELECTRICA Y ELECTRONICA</t>
  </si>
  <si>
    <t>ALBURQUEQUE-GUERRERO-ANGEL LUIS</t>
  </si>
  <si>
    <t>ALMORA-RIVAS-ENRIQUE</t>
  </si>
  <si>
    <t>ANTARA-ARIAS-RONAL</t>
  </si>
  <si>
    <t>AQUIZE-PALACIOS-RUBEN DARIO</t>
  </si>
  <si>
    <t>ARENALES-SOLIS-JOSE CARLOS ERNESTO</t>
  </si>
  <si>
    <t>ATARAMA-URBINA-ANCO LUIS</t>
  </si>
  <si>
    <t>BAUTISTA-RIOS-JUAN PABLO</t>
  </si>
  <si>
    <t>BEDRIÑANA-ARONES-MANFRED FRITZ</t>
  </si>
  <si>
    <t>BELLEZA-ZAMORA-EDUARDO</t>
  </si>
  <si>
    <t>BENITEZ-PALACIOS-JOSE CARLOS</t>
  </si>
  <si>
    <t>BRICEÑO-ARANDA-CESAR ALBERTO</t>
  </si>
  <si>
    <t>CÁCERES-CÁRDENAS-FÉLIX VÍCTOR</t>
  </si>
  <si>
    <t>CAJAHUARINGA-CAMACO-ARMANDO ALBERTO</t>
  </si>
  <si>
    <t>CALLA-MARIN-CARLOS</t>
  </si>
  <si>
    <t>CARBONEL-OLAZABAL-DANIEL ROBERTO</t>
  </si>
  <si>
    <t>CARO-AMERY-JOSE ANTONIO</t>
  </si>
  <si>
    <t>CARRANZA-AREVALO-MANUEL JOSE</t>
  </si>
  <si>
    <t>CASTILLO-BELSUZARRI-TRINI SANDRO</t>
  </si>
  <si>
    <t>CHAVEZ-CHACALTANA-ORLANDO MIGUEL</t>
  </si>
  <si>
    <t>CORNEJO-HUAMAN-JORGE LUIS</t>
  </si>
  <si>
    <t>DEGREGORI-CADENILLAS-LUIS FRANCISCO</t>
  </si>
  <si>
    <t>DELGADO-LEON-MIGUEL ZACARIAS</t>
  </si>
  <si>
    <t>DIAZ-ALIAGA-JULIO TEODOSIO</t>
  </si>
  <si>
    <t>DIAZ-ZEGARRA-JOSE ALBERTO</t>
  </si>
  <si>
    <t>ERQUIZIO-ESPINAL-JOSE EDUARDO</t>
  </si>
  <si>
    <t>GALVEZ-LEGUA-MAURICIO PEDRO</t>
  </si>
  <si>
    <t>GUTIERREZ-PAUCAR-AGUSTIN ADALBERTO</t>
  </si>
  <si>
    <t>HUAYLLASCO-MONTALVA-CARLOS ALBERTO</t>
  </si>
  <si>
    <t>JIMENEZ-HEREDIA-ELADIO JACINTO</t>
  </si>
  <si>
    <t>KOC-RUEDA-JOSE ELMER</t>
  </si>
  <si>
    <t>LAZO-OCHOA-DOMINGO PEDRO</t>
  </si>
  <si>
    <t>LEÓN-CONTRERAS DE RAMÍREZ-IRAIDA ARLENE</t>
  </si>
  <si>
    <t>LOPEZ-TAFUR-MARCIAL ANTONIO</t>
  </si>
  <si>
    <t>LOPEZ-ARAMBURU-FERNANDO MAXIMILIANO</t>
  </si>
  <si>
    <t>LOPEZ-ESQUIVEL-MIGUEL ANGEL</t>
  </si>
  <si>
    <t>LOZANO-SALAS-JULIO CESAR SAUL</t>
  </si>
  <si>
    <t>MACHUCA-MINES-JOSE AMBROSIO</t>
  </si>
  <si>
    <t>MEDINA-RAMOS-CARLOS CELESTINO</t>
  </si>
  <si>
    <t>MEDINA-RAMIREZ-JOSE AGUSTIN</t>
  </si>
  <si>
    <t>MEDINA-RODRIGUEZ DE CASTAÑEDA-RAQUEL</t>
  </si>
  <si>
    <t>MERCHAN-GORDILLO-FERNANDO SALOMON</t>
  </si>
  <si>
    <t>MONTES-BAZALAR-LUIS ANDRES</t>
  </si>
  <si>
    <t>MORALES-VILLANUEVA-AURELIO FEDERICO</t>
  </si>
  <si>
    <t>MORENO-MARTINEZ-RODOLFO MANUEL</t>
  </si>
  <si>
    <t>MORENO-CUEVA-CESAR AUGUSTO</t>
  </si>
  <si>
    <t>NEYRA-HERRERA-MIGUEL ANGEL</t>
  </si>
  <si>
    <t>NUÑEZ-ZUÑIGA-TERESA ESTHER</t>
  </si>
  <si>
    <t>ÑAUPARI-HUATUCO-DIONICIO ZOCIMO</t>
  </si>
  <si>
    <t>ORIA-CHAVARRIA-MARIO</t>
  </si>
  <si>
    <t>PALMA-GARCIA-MODESTO TOMAS</t>
  </si>
  <si>
    <t>PAUYAC-HUAMAN-JOSE ANIBAL</t>
  </si>
  <si>
    <t>PERALTA-ALFEREZ-FRANS VILY</t>
  </si>
  <si>
    <t>PISCOYA-SILVA-ULISES ABDON</t>
  </si>
  <si>
    <t>PIZAN-TOSCANO-LUPE NERIDA</t>
  </si>
  <si>
    <t>RAMIREZ-ARCELLES-ROBERTO RUBEN</t>
  </si>
  <si>
    <t>RAMIREZ-HUAMAN-LUIS ENRIQUE</t>
  </si>
  <si>
    <t>RAMOS-CARRION-JORGE CARMELO</t>
  </si>
  <si>
    <t>ROCHA-JARA-ALFREDO</t>
  </si>
  <si>
    <t>RODRIGUEZ-MORALES-MARIA ISABEL</t>
  </si>
  <si>
    <t>RODRIGUEZ-GUTIERREZ-ALFREDO EFRAÍN</t>
  </si>
  <si>
    <t>ROJAS-MIRANDA-LUIS</t>
  </si>
  <si>
    <t>ROJAS-CERNA-VICTOR DANIEL</t>
  </si>
  <si>
    <t>ROJAS-VARGAS-CAROLYN MILAGROS</t>
  </si>
  <si>
    <t>ROJAS-VILLANUEVA-UWE</t>
  </si>
  <si>
    <t>ROMERO-FUENTES-VIRGINIA GENOVEVA</t>
  </si>
  <si>
    <t>ROMERO-GOYTENDIA-LUIS MIGUEL</t>
  </si>
  <si>
    <t>ROSADO-AGUIRRE-ESTANISLAO UBALDO</t>
  </si>
  <si>
    <t>SAAL-RIQUEROS-CESAR AUGUSTO</t>
  </si>
  <si>
    <t>SALINAS-AQUIJE-TEOFILO WILLIAMS</t>
  </si>
  <si>
    <t>SALVADOR-JACOME-LEONCIO JULIO</t>
  </si>
  <si>
    <t>SANDOVAL-RODRIGUEZ-ALBERTO</t>
  </si>
  <si>
    <t>TISZA-CONTRERAS-JUAN FRANCISCO</t>
  </si>
  <si>
    <t>TOKUMORI-KIYOTA-SERGIO</t>
  </si>
  <si>
    <t>TRONCOSO-CASTRO-PAUL FERNANDO</t>
  </si>
  <si>
    <t>VENTOSILLA-ZEVALLOS-MOISES ODAVIO</t>
  </si>
  <si>
    <t>WATERS-TORRES-OSWALDO ALBERTO</t>
  </si>
  <si>
    <t>YANQUE-MONTUFAR-JUSTO HERMILO</t>
  </si>
  <si>
    <t>ZORRILLA-ACOSTA-JOSE ALBERTO</t>
  </si>
  <si>
    <t>ALARCON-DE LA CRUZ-JORGE ALBERTO</t>
  </si>
  <si>
    <t>FACULTAD DE INGENIERIA GEOLOGICA, MINERA Y METALURGICA</t>
  </si>
  <si>
    <t>ALIAGA-INGARUCA-OVER AVELINO</t>
  </si>
  <si>
    <t>ARAUCO-BENAVIDES-AQUILES</t>
  </si>
  <si>
    <t>ARENAS-ÑIQUIN-JOSE LUIS</t>
  </si>
  <si>
    <t>AVALO-CORTEZ-ORFELINDA</t>
  </si>
  <si>
    <t>AYALA-MINA-JORGE GERARDO</t>
  </si>
  <si>
    <t>BARRIENTOS-RODRIGUEZ-VICTOR SAUL</t>
  </si>
  <si>
    <t>BARZOLA-ESTEBAN-MARCELO RICARDO</t>
  </si>
  <si>
    <t>BASURTO-RAVICHAGUA-DANIEL JESUS</t>
  </si>
  <si>
    <t>BRINGAS-ZUÑIGA-JESUS JOSE</t>
  </si>
  <si>
    <t>CANCHAYA-MOYA-SAMUEL PEDRO</t>
  </si>
  <si>
    <t>CARHUAY-PAMPAS-ENRIQUE GREGORIO</t>
  </si>
  <si>
    <t>CARRASCAL-MIRANDA-EITEL ROLANDO</t>
  </si>
  <si>
    <t>CASTILLO-ALEJOS-EFRAIN EUGENIO</t>
  </si>
  <si>
    <t>CASTILLO-UNGARO-RICARDO</t>
  </si>
  <si>
    <t>CHAVEZ-VALDIVIA-ADOLFO JESUS</t>
  </si>
  <si>
    <t>CHIRIF-RIVERA-LUIS HUMBERTO</t>
  </si>
  <si>
    <t>COLLANTE-HUANTO-ANDRES</t>
  </si>
  <si>
    <t>CONDORI-CUPI-CARMELO</t>
  </si>
  <si>
    <t>CORDOVA-ROJAS-NESTOR DAVID</t>
  </si>
  <si>
    <t>CORIMANYA-MAURICIO-JOSE ANTONIO</t>
  </si>
  <si>
    <t>DE SOUZA FERREYRA-LLAQUE-CARLOS ANIBAL</t>
  </si>
  <si>
    <t>DIAZ-MUÑOZ-ARMANDO JESUS</t>
  </si>
  <si>
    <t>DURAND-PORRAS-JUAN CARLOS</t>
  </si>
  <si>
    <t>EGO AGUIRRE-MADRID-MANUEL MARTIN</t>
  </si>
  <si>
    <t>ENCISO-VARGAS-FERNANDO</t>
  </si>
  <si>
    <t>GOMEZ-SALAS-SEGUNDO WILMER</t>
  </si>
  <si>
    <t>GONZALES-PACHECO-GRACIELA</t>
  </si>
  <si>
    <t>GUARNIZ-ANTICONA-SANDRO GERMAN</t>
  </si>
  <si>
    <t>GUERRERO-GARATE-NELLI SOFIA</t>
  </si>
  <si>
    <t>GUERRERO-VILLALBA-JUAN CARLOS</t>
  </si>
  <si>
    <t>HERNANDEZ-DIAZ-VICTOR MANUEL</t>
  </si>
  <si>
    <t>HUAMAN-GUERRERO-ALFONSO EDMUNDO</t>
  </si>
  <si>
    <t>HUARANCA-TANTA-SERGIO</t>
  </si>
  <si>
    <t>KOBASHICAWA-CHINEN-JUAN ANTONIO</t>
  </si>
  <si>
    <t>LANDA-CALDERON-OMAR ANTONIO</t>
  </si>
  <si>
    <t>LANDAURO-ABANTO-ALBERTO</t>
  </si>
  <si>
    <t>LAZO-JARA-ANTONIO NOLBERTO</t>
  </si>
  <si>
    <t>LOBATO-FLORES-ARTURO LEONCIO</t>
  </si>
  <si>
    <t>MACHARE-ORDOÑEZ-JOSE ENRIQUE</t>
  </si>
  <si>
    <t>MALDONADO-ASTORGA-ROBERTO FERNANDO</t>
  </si>
  <si>
    <t>MAMANI-QUEA-LOO JAVIER</t>
  </si>
  <si>
    <t>MANRIQUE-ZUÑIGA-ESTEBAN DIONICIO</t>
  </si>
  <si>
    <t>MARIÑO-SALAZAR-JERSY RAPHAEL</t>
  </si>
  <si>
    <t>MARQUINA-ROBLES-MARIA LUZ</t>
  </si>
  <si>
    <t>MARTINEZ-AGUILAR-DAVID PEDRO</t>
  </si>
  <si>
    <t>MATOS-AVALOS-CARMEN ROSALIA</t>
  </si>
  <si>
    <t>MAURICIO-PEREZ-FELIX</t>
  </si>
  <si>
    <t>MENDOZA-APOLAYA-ATILIO</t>
  </si>
  <si>
    <t>MENDOZA-TARAZONA-CESAR AUGUSTO</t>
  </si>
  <si>
    <t>NORABUENA-HUAHUACHAMPI-RUTH HAYDEE</t>
  </si>
  <si>
    <t>OSORIO-MAZA-MERCEDES AIDA</t>
  </si>
  <si>
    <t>PALACIOS-ALBUJAR-DORIS ISABEL</t>
  </si>
  <si>
    <t>PAREDES-ANGELES-JORGE HUMBERTO</t>
  </si>
  <si>
    <t>PEREZ-DIAZ-ELBERT</t>
  </si>
  <si>
    <t>PIZARRO-MONCADA-CHRISTIAN DAVID</t>
  </si>
  <si>
    <t>POMACHAGUA-PEREZ-GERMAN ELIAS</t>
  </si>
  <si>
    <t>PONCE-GAGO-LILY EDITH</t>
  </si>
  <si>
    <t>QUIÑONES-CASTILLO-LEONCIO</t>
  </si>
  <si>
    <t>QUIROZ-BAZAN-LUIS GUILLERMO</t>
  </si>
  <si>
    <t>REVOLLE-ALVAREZ-NORA NELLY</t>
  </si>
  <si>
    <t>RODRIGUEZ-TORRES-FRANCISCO ALBERTO</t>
  </si>
  <si>
    <t>ROJAS-CABALLERO-DAVID ROLANDO</t>
  </si>
  <si>
    <t>ROSALES-HUAMANI-JIMMY AURELIO</t>
  </si>
  <si>
    <t>RUIZ-MOSTACERO-ZOILA EMPERATRIZ</t>
  </si>
  <si>
    <t>SALAZAR-DULANTO-EDER LEON</t>
  </si>
  <si>
    <t>SANCHEZ-LEVANO-MARIA JULIA</t>
  </si>
  <si>
    <t>SANTIAGO-CHIRINOS-CESAR RAMIRO</t>
  </si>
  <si>
    <t>SANZ-PARRA-VICTOR RAUL</t>
  </si>
  <si>
    <t>SESPEDES-VALKARSEL-SVITLANA</t>
  </si>
  <si>
    <t>SILVA-CAMPOS-OSCAR FELIPE</t>
  </si>
  <si>
    <t>SUAREZ-SANCHEZ-MARIA FLOR</t>
  </si>
  <si>
    <t>TUIRO-SALVADOR-MARIA CARMEN</t>
  </si>
  <si>
    <t>URIBE-VENTURA-RODRIGO ALONSO</t>
  </si>
  <si>
    <t>UZA-TERUYA-JULIO</t>
  </si>
  <si>
    <t>VALENCIA-CHAVEZ-ELVIS WILLIAM</t>
  </si>
  <si>
    <t>VALVERDE-ESPINOZA-SANTIAGO GUALBERTO</t>
  </si>
  <si>
    <t>VELEZ-ARANA-GUSTAVO BALTAZAR</t>
  </si>
  <si>
    <t>VITE-CASAVERDE-ROBERTO VALENTIN</t>
  </si>
  <si>
    <t>YOPLAC-CASTROMONTE-EDWILDE</t>
  </si>
  <si>
    <t>YPARRAGUIRRE-CALDERON-JOSE ANDRES</t>
  </si>
  <si>
    <t>ZAMBRANA-FLORES-HENRY MAMFREDO</t>
  </si>
  <si>
    <t>ACEIJAS-PAJARES-WINSTON NAPOLEON</t>
  </si>
  <si>
    <t>FACULTAD DE INGENIERIA MECANICA</t>
  </si>
  <si>
    <t>ACOSTA-PASTOR-VICTOR NILO</t>
  </si>
  <si>
    <t>AGUILAR-VIZCARRA-DUILIO LEONCIO</t>
  </si>
  <si>
    <t>AGUILAR-ROBLES-GREGORIO</t>
  </si>
  <si>
    <t>ALVA-DAVILA-FORTUNATO</t>
  </si>
  <si>
    <t>ALVAREZ-SANCHEZ-HELARD HENRY</t>
  </si>
  <si>
    <t>APOLAYA-ARNAO-MARY ESTELA</t>
  </si>
  <si>
    <t>ARREDONDO-MEDINA-MARIO JESUS</t>
  </si>
  <si>
    <t>ARZAPALO-GUERE-JONATAN JONAS</t>
  </si>
  <si>
    <t>ATOCHE-DIAZ-WILMER JHONNY</t>
  </si>
  <si>
    <t>AYASTA-MECHAN-WALDIR ELOY</t>
  </si>
  <si>
    <t>BALDEON-ICOCHEA-ROBERTO ANTENOR</t>
  </si>
  <si>
    <t>BECERRA-AREVALO-GILBERTO</t>
  </si>
  <si>
    <t>BECERRA-FELIPE-JOSE LUIS</t>
  </si>
  <si>
    <t>BEJARANO-LINARES-EDWIN RUBEN</t>
  </si>
  <si>
    <t>BRAVO-MACEDO-CESAR</t>
  </si>
  <si>
    <t>CALLE-FLORES-IVAN ARTURO</t>
  </si>
  <si>
    <t>CASADO-MARQUEZ-JOSE MARTIN</t>
  </si>
  <si>
    <t>CASTAÑEDA-SANCHEZ-JORGE PORFIRIO</t>
  </si>
  <si>
    <t>SUSPENDIDO</t>
  </si>
  <si>
    <t>CASTRO-SALGUERO-ROBERT GERARDO</t>
  </si>
  <si>
    <t>CHAU-CHAU-JORGE SANTIAGO</t>
  </si>
  <si>
    <t>CHAUCA-GIRON-EVELYN EVA</t>
  </si>
  <si>
    <t>CHAVEZ-LIZAMA-FEDERICO FRANCISCO</t>
  </si>
  <si>
    <t>CHAVEZ-PALOMINO-RONALD EDER</t>
  </si>
  <si>
    <t>CHURAMPI-ROMAN-DANIEL FRANCISCO</t>
  </si>
  <si>
    <t>COGORNO-OVALLE-CARLOS LUIS</t>
  </si>
  <si>
    <t>CORDOVA-HERNANDEZ-ZOILA LUISA</t>
  </si>
  <si>
    <t>CORNEJO-MORON-RUBEN DARIO</t>
  </si>
  <si>
    <t>CORTEZ-GALINDO-HERNAN</t>
  </si>
  <si>
    <t>CORTEZ-GALINDO-CANCIO NICOLAS</t>
  </si>
  <si>
    <t>DE LA TORRE-CORTEZ-DENNYS DUNKER</t>
  </si>
  <si>
    <t>ESCUDERO-VEGA-PEDRO FILIMON</t>
  </si>
  <si>
    <t>ESPINOZA-ESCRIBA-JUAN</t>
  </si>
  <si>
    <t>ESPINOZA-PAREDES-RAFAEL LEONARDO</t>
  </si>
  <si>
    <t>ESTRADA-PITA-JULIO CESAR</t>
  </si>
  <si>
    <t>FURUKAWA-FUKUDA-ROBERTO SUMIYOSHI</t>
  </si>
  <si>
    <t>GALARZA-SOTO-WALTER HERBERT</t>
  </si>
  <si>
    <t>GAMARRA-CHINCHAY-HUGO ELISEO</t>
  </si>
  <si>
    <t>GANOZA-PIÑA-JOSE JAVIER</t>
  </si>
  <si>
    <t>GARCIA-RODAS-WILFREDO</t>
  </si>
  <si>
    <t>GARCIA-VALLEJO-MILDER FREDDY</t>
  </si>
  <si>
    <t>GARRIDO-JUAREZ-ROSA MERCEDES</t>
  </si>
  <si>
    <t>GODOFREDO-VALDIVIA-FAUSTO ISRAEL</t>
  </si>
  <si>
    <t>GOMEZ SANCHEZ-SOTO-RUBEN</t>
  </si>
  <si>
    <t>GONZALES-CHAVEZ-SALOME</t>
  </si>
  <si>
    <t>GUILLEN-GUILLEN-ELSA NOEMI</t>
  </si>
  <si>
    <t>HUACCHA-QUIROZ-EDUARDO</t>
  </si>
  <si>
    <t>HUAMAN-DEL PINO VDA DE ROSSI-LILIANA CONCEPCION</t>
  </si>
  <si>
    <t>HUAMAN-SAAVEDRA-CARLOS ALBERTO</t>
  </si>
  <si>
    <t>INGA-RENGIFO-ALBERTO</t>
  </si>
  <si>
    <t>JOO-AGUAYO-ALCIDES GUILLERMO</t>
  </si>
  <si>
    <t>KUROKAWA-GUERREROS-MANUEL</t>
  </si>
  <si>
    <t>LASTRA-ESPINOZA-LUIS ANTONIO</t>
  </si>
  <si>
    <t>LECAROS-GUTIERREZ-CESAR AUGUSTO</t>
  </si>
  <si>
    <t>LIRA-CACHO-JUAN GUILLERMO</t>
  </si>
  <si>
    <t>LUQUE-CASANAVE-MANUEL HUMBERTO</t>
  </si>
  <si>
    <t>MALDONADO-ALATA-RUTH ELENA</t>
  </si>
  <si>
    <t>MAÑUECO-ATAURIMA-HAYDEE</t>
  </si>
  <si>
    <t>MARCELO-BARRETO-EMILIO ASUNCION</t>
  </si>
  <si>
    <t>MENDOZA-GARCIA-JOSE TOMAS</t>
  </si>
  <si>
    <t>MENDOZA-SUÁREZ-CÉSAR ELÍAS</t>
  </si>
  <si>
    <t>MORENO-PAREDES-CARLOS ALBERTO</t>
  </si>
  <si>
    <t>MUNARES-TAPIA-CARLOS CESAR</t>
  </si>
  <si>
    <t>NAVARRO-GUTIERREZ-KEVIN ORLANDO</t>
  </si>
  <si>
    <t>ÑIQUE-ALVAREZ-ROSA INES</t>
  </si>
  <si>
    <t>ORTIZ-PORRAS-JORGE ENRIQUE</t>
  </si>
  <si>
    <t>OSORIO-MALDONADO-DANIEL</t>
  </si>
  <si>
    <t>PACHAS-SALHUANA-JOSE TEODORO</t>
  </si>
  <si>
    <t>PADILLA-RIOS-AURELIO MARCELO</t>
  </si>
  <si>
    <t>PAEZ-APOLINARIO-ELISEO</t>
  </si>
  <si>
    <t>PAREDES-JARAMILLO-SANTIAGO VICTOR</t>
  </si>
  <si>
    <t>PERALDO-RAMOS VDA DE VEGA-ANITA ETELVINA</t>
  </si>
  <si>
    <t>PEREZ-ÑAUPA-ROLANDO MELQUIADES</t>
  </si>
  <si>
    <t>PINEDA-LEON-ROBERTO</t>
  </si>
  <si>
    <t>PONCE-GALIANO-JORGE</t>
  </si>
  <si>
    <t>RAMIREZ-ROSAS-JORGE LUIS</t>
  </si>
  <si>
    <t>RAMOS-ALVAREZ-NAIN MAXIMO</t>
  </si>
  <si>
    <t>RAVELO-CHUMIOQUE-JOSE JAIME</t>
  </si>
  <si>
    <t>RIOS-GALDO-RUBEN DARIO</t>
  </si>
  <si>
    <t>RODRIGUEZ-MADRID-ALEJANDRO MARTIN</t>
  </si>
  <si>
    <t>ROJAS-SERNA-CARLOS ALFONSO</t>
  </si>
  <si>
    <t>ROSAS-MARTINEZ-NESTOR</t>
  </si>
  <si>
    <t>SALAZAR-BELLIDO-ISRAEL AMERICO</t>
  </si>
  <si>
    <t>SAMPEN-ALQUIZAR-LUIS ALBERTO</t>
  </si>
  <si>
    <t>SANCHEZ-TARNAWIECKI-LUIS ENRIQUE</t>
  </si>
  <si>
    <t>SARAVIA-POICON-FREDY ALBERTO</t>
  </si>
  <si>
    <t>SARMIENTO-SARMIENTO-ENRIQUE</t>
  </si>
  <si>
    <t>SILVA-TORRES-JOSE</t>
  </si>
  <si>
    <t>SILVA-VASQUEZ-WILSON JOSE</t>
  </si>
  <si>
    <t>SINCHI-YUPANQUI-FRANCISCO EDILBERTO</t>
  </si>
  <si>
    <t>SOTELO-VALER-FREEDY</t>
  </si>
  <si>
    <t>TACILLO-YAULI-ELVIS FERNANDO</t>
  </si>
  <si>
    <t>TAMAYO-PEREYRA-ROBERTO CARLOS</t>
  </si>
  <si>
    <t>TELLO-GODOY-EDWIN</t>
  </si>
  <si>
    <t>TELLO-YUEN-ROBERTO LEONARDO</t>
  </si>
  <si>
    <t>TOLEDO-PAREDES-MANUEL SEBES</t>
  </si>
  <si>
    <t>TURRIATE-MANRIQUE-CLARA MARINA</t>
  </si>
  <si>
    <t>UCHUYA-LOPEZ-JUAN JOSE</t>
  </si>
  <si>
    <t>UGARTE-LOPEZ-CESAR BAYARDO</t>
  </si>
  <si>
    <t>VALVERDE-PADILLA-GIANCARLO</t>
  </si>
  <si>
    <t>VARGAS MACHUCA-BUENO-JUAN PABLO</t>
  </si>
  <si>
    <t>VASQUEZ-ALVA-DARIO</t>
  </si>
  <si>
    <t>VENEGAS-ROMERO-JOSE GINO</t>
  </si>
  <si>
    <t>VERA-ERMITAÑO-JORGE</t>
  </si>
  <si>
    <t>VILCHEZ-VILCHEZ-TITO ROBERTO</t>
  </si>
  <si>
    <t>VILLALOBOS-SAAVEDRA-ORLANDO</t>
  </si>
  <si>
    <t>VILLANUEVA-URE-JUSTO REYNALDO</t>
  </si>
  <si>
    <t>VILLAVICENCIO-CHAVEZ-MANUEL AUGUSTO</t>
  </si>
  <si>
    <t>YARIN-ACHACHAGUA-YASSER HIPOLITO</t>
  </si>
  <si>
    <t>YUPANQUI-SANCHEZ-ANGEL RAMIRO</t>
  </si>
  <si>
    <t>ZAPATA-SERNAQUE-ADRIAN</t>
  </si>
  <si>
    <t>ZAVALETA-CALDERON-JORGE EDGAR</t>
  </si>
  <si>
    <t>ADRIANO-CHILQUILLO-FRANCISCO ISIDORO</t>
  </si>
  <si>
    <t>FACULTAD DE INGENIERIA QUIMICA Y TEXTIL</t>
  </si>
  <si>
    <t>AGUILAR-LOYAGA-SANTIAGO RODOLFO</t>
  </si>
  <si>
    <t>APAZA-HUANCAPAZA-UBALDO</t>
  </si>
  <si>
    <t>ARROYO-GASTELU-SEGUNDO OCTAVIO</t>
  </si>
  <si>
    <t>BENITES-MITMA-WILMAN VICENTE</t>
  </si>
  <si>
    <t>BORDA-CANO-JAVIER</t>
  </si>
  <si>
    <t>BRAÑEZ-SANCHEZ-MARCO APOLONIO</t>
  </si>
  <si>
    <t>BULLON-CAMARENA DE CASTRO-OLGA FRIDA</t>
  </si>
  <si>
    <t>CANCHUCAJA-CRUZ-RAMIRO FELIX</t>
  </si>
  <si>
    <t>CARDENAS-VARGAS-BERTHA</t>
  </si>
  <si>
    <t>CARDENAS-MENDOZA-TEODARDO JAVIER</t>
  </si>
  <si>
    <t>CARHUANCHO-LUCEN-CIRO ANTONIO</t>
  </si>
  <si>
    <t>CASTILLO-GOMERO-ELIFIO GUSTAVO</t>
  </si>
  <si>
    <t>COLLADO-DOMINGUEZ-EMERSON ALCIDES</t>
  </si>
  <si>
    <t>DAVILA-TAPIA-JOSE VICENTE</t>
  </si>
  <si>
    <t>DE LA CRUZ-AZABACHE-MARIO RICARDO</t>
  </si>
  <si>
    <t>DEXTRE-JARA-EDWIN TELLEZ</t>
  </si>
  <si>
    <t>ESPONDA-VELIZ-JORGE JOSE</t>
  </si>
  <si>
    <t>FLORES-RAMOS-JAIME JONAS</t>
  </si>
  <si>
    <t>FRANCO-PORTILLA VDA DE ALVAREZ-LUZ ROSARIO</t>
  </si>
  <si>
    <t>GAGO-TOLENTINO-ROGER ENRIQUE</t>
  </si>
  <si>
    <t>GARAYAR-AVALOS-MARIO</t>
  </si>
  <si>
    <t>HERBOZO-Y ROMERO-CESAR</t>
  </si>
  <si>
    <t>HERMOZA-GUERRA DE SANCHEZ-EMILIA GABRIELA</t>
  </si>
  <si>
    <t>HUAMAN-PEREZ-FERNANDO</t>
  </si>
  <si>
    <t>HUAYTA-SOCANTAYPE-FREDY VICENTE</t>
  </si>
  <si>
    <t>MADUEÑO-SULCA-CESAR TORIBIO</t>
  </si>
  <si>
    <t>MARCELO-ASTOCONDOR-DIONICIO ADOLFO</t>
  </si>
  <si>
    <t>MARIN-LIRA-RIGOBERTO</t>
  </si>
  <si>
    <t>MONTALVO-HURTADO-CELSO PASTOR ALEJANDRO</t>
  </si>
  <si>
    <t>MORA-RAMIREZ-RAFAEL FELIX</t>
  </si>
  <si>
    <t>MORAN-TELLO-MIGUEL ANGEL</t>
  </si>
  <si>
    <t>MOSQUERA-MOLINA-MIGUEL ANGEL</t>
  </si>
  <si>
    <t>NEIRA-MONTOYA-ENRIQUE FILIBERTO</t>
  </si>
  <si>
    <t>NIETO-JUAREZ-JESSICA IVANA</t>
  </si>
  <si>
    <t>NUÑEZ-PEREYRA-CARMEN ROSA</t>
  </si>
  <si>
    <t>ORCON-BASILIO-BEATRIZ GLORIA</t>
  </si>
  <si>
    <t>OSORIO-CARRERA-CESAR JAVIER</t>
  </si>
  <si>
    <t>PAJAN-LAN-HAROLD PATRICK</t>
  </si>
  <si>
    <t>PAUCAR-CUBA-KARIN MARIA</t>
  </si>
  <si>
    <t>PILCO-NUÑEZ-ALEX WILLY</t>
  </si>
  <si>
    <t>PINGLO-RAMIREZ-MIGUEL ANGEL</t>
  </si>
  <si>
    <t>PORRAS-SOSA-EMILIO FERMIN</t>
  </si>
  <si>
    <t>QUIROZ-GARCIA-JUAN ANTONIO</t>
  </si>
  <si>
    <t>RAMOS-BALCAZAR-YONE ELDY</t>
  </si>
  <si>
    <t>ROCA-MENESES-ELSA BEATRIZ</t>
  </si>
  <si>
    <t>ROJAS-OROSCO-JANET</t>
  </si>
  <si>
    <t>RUIZ-GUDIEL-VICTOR ANDRES</t>
  </si>
  <si>
    <t>SALINAS-GARCIA-JULIA VICTORIA</t>
  </si>
  <si>
    <t>SANCHEZ-DAVALOS-JUAN IGNACIO</t>
  </si>
  <si>
    <t>SOTERO-MURGA-MANUEL ENRIQUE</t>
  </si>
  <si>
    <t>TITO-SILVA DE BENDEZU-MARIA ELENA</t>
  </si>
  <si>
    <t>TUESTA-CHAVEZ-TARSILA</t>
  </si>
  <si>
    <t>TURRIATE-MANRIQUE-JUAN ANGEL</t>
  </si>
  <si>
    <t>VERASTEGUI-CHOLAN-DELIA ROSA</t>
  </si>
  <si>
    <t>VERGARA-SOTOMAYOR-ABEL FERNANDO</t>
  </si>
  <si>
    <t>VILLON-ULLOA-ANGEL EDUARDO</t>
  </si>
  <si>
    <t>VIVAS-CUELLAR-MAGALI CAMILA</t>
  </si>
  <si>
    <t>ZALDIVAR-ALVAREZ-WALTER FERNANDO</t>
  </si>
  <si>
    <t>RELACION DE DOCENTES PRINCIPALES CON MAS DE 7 AÑOS EN LA CATEGORIA AL 30/06/2026</t>
  </si>
  <si>
    <t>APELLIDOS Y NOMBRES</t>
  </si>
  <si>
    <t>ESTADO EN PLANILLA</t>
  </si>
  <si>
    <t>CATEGORIA</t>
  </si>
  <si>
    <t>TIEMPO EN LA CATEGORIA</t>
  </si>
  <si>
    <t>RELACION DE DOCENTES ASOCIADOS CON MAS DE 5 AÑOS EN LA CATEGORIA AL 30/06/2026</t>
  </si>
  <si>
    <t>ASTC</t>
  </si>
  <si>
    <t>ASTP</t>
  </si>
  <si>
    <t>RELACION DE DOCENTES AUXILIARES CON MAS DE 3 AÑOS EN LA CATEGORIA AL 30/06/2026</t>
  </si>
  <si>
    <t>AXTC</t>
  </si>
  <si>
    <t>AXTP</t>
  </si>
  <si>
    <t>RELACION DE DOCENTES DE LA FACULTAD DE CIENCIAS</t>
  </si>
  <si>
    <t>19908061F</t>
  </si>
  <si>
    <t>19978121H</t>
  </si>
  <si>
    <t>19998212I</t>
  </si>
  <si>
    <t>19918211K</t>
  </si>
  <si>
    <t>19888251J</t>
  </si>
  <si>
    <t>19978401K</t>
  </si>
  <si>
    <t>19898401D</t>
  </si>
  <si>
    <t>20058443G</t>
  </si>
  <si>
    <t>19998446J</t>
  </si>
  <si>
    <t>19998447F</t>
  </si>
  <si>
    <t>20048501D</t>
  </si>
  <si>
    <t>20028501I</t>
  </si>
  <si>
    <t>19938562C</t>
  </si>
  <si>
    <t>19808619E</t>
  </si>
  <si>
    <t>19948602H</t>
  </si>
  <si>
    <t>19918642A</t>
  </si>
  <si>
    <t>19918823F</t>
  </si>
  <si>
    <t>19878821H</t>
  </si>
  <si>
    <t>20108007K</t>
  </si>
  <si>
    <t>20088001B</t>
  </si>
  <si>
    <t>19718070D</t>
  </si>
  <si>
    <t>20188065B</t>
  </si>
  <si>
    <t>20168113A</t>
  </si>
  <si>
    <t>20168118C</t>
  </si>
  <si>
    <t>19998137G</t>
  </si>
  <si>
    <t>20218113J</t>
  </si>
  <si>
    <t>19808149I</t>
  </si>
  <si>
    <t>20128111H</t>
  </si>
  <si>
    <t>20168211C</t>
  </si>
  <si>
    <t>20058211I</t>
  </si>
  <si>
    <t>20008271H</t>
  </si>
  <si>
    <t>20018302C</t>
  </si>
  <si>
    <t>19968353C</t>
  </si>
  <si>
    <t>20068443J</t>
  </si>
  <si>
    <t>20158441F</t>
  </si>
  <si>
    <t>20238450A</t>
  </si>
  <si>
    <t>20218449H</t>
  </si>
  <si>
    <t>20158501I</t>
  </si>
  <si>
    <t>20148502B</t>
  </si>
  <si>
    <t>20008501C</t>
  </si>
  <si>
    <t>20238449C</t>
  </si>
  <si>
    <t>20068505E</t>
  </si>
  <si>
    <t>20128504J</t>
  </si>
  <si>
    <t>20218513H</t>
  </si>
  <si>
    <t>20178562C</t>
  </si>
  <si>
    <t>20138561F</t>
  </si>
  <si>
    <t>20208571E</t>
  </si>
  <si>
    <t>20218529A</t>
  </si>
  <si>
    <t>20108581I</t>
  </si>
  <si>
    <t>20168581E</t>
  </si>
  <si>
    <t>20168604E</t>
  </si>
  <si>
    <t>20128602A</t>
  </si>
  <si>
    <t>20178605D</t>
  </si>
  <si>
    <t>19958601D</t>
  </si>
  <si>
    <t>20088641A</t>
  </si>
  <si>
    <t>20108663E</t>
  </si>
  <si>
    <t>19898663I</t>
  </si>
  <si>
    <t>20208648H</t>
  </si>
  <si>
    <t>20198644E</t>
  </si>
  <si>
    <t>19988718G</t>
  </si>
  <si>
    <t>20178801H</t>
  </si>
  <si>
    <t>20188821A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</si>
</sst>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color rgb="FF054080"/>
      <name val="Cambria"/>
      <family val="1"/>
    </font>
    <font>
      <b/>
      <sz val="9"/>
      <color rgb="FFFFFFFF"/>
      <name val="Helvetica"/>
      <family val="2"/>
    </font>
    <font>
      <b/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"/>
      <name val="Arial"/>
      <family val="2"/>
    </font>
    <font>
      <b/>
      <sz val="9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D1E5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/>
    </xf>
    <xf numFmtId="0" fontId="20" fillId="34" borderId="1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4" fillId="36" borderId="14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/>
    </xf>
    <xf numFmtId="164" fontId="20" fillId="0" borderId="10" xfId="0" applyNumberFormat="1" applyFont="1" applyBorder="1" applyAlignment="1">
      <alignment horizont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3" fillId="35" borderId="11" xfId="0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center" vertical="center"/>
    </xf>
    <xf numFmtId="0" fontId="24" fillId="36" borderId="14" xfId="0" applyFont="1" applyFill="1" applyBorder="1" applyAlignment="1">
      <alignment horizontal="center" vertical="center" wrapText="1"/>
    </xf>
    <xf numFmtId="0" fontId="24" fillId="36" borderId="17" xfId="0" applyFont="1" applyFill="1" applyBorder="1" applyAlignment="1">
      <alignment horizontal="center" vertical="center" wrapText="1"/>
    </xf>
    <xf numFmtId="0" fontId="24" fillId="36" borderId="15" xfId="0" applyFont="1" applyFill="1" applyBorder="1" applyAlignment="1">
      <alignment horizontal="center" vertical="center" wrapText="1"/>
    </xf>
    <xf numFmtId="0" fontId="24" fillId="36" borderId="12" xfId="0" applyFont="1" applyFill="1" applyBorder="1" applyAlignment="1">
      <alignment horizontal="center" vertical="center" wrapText="1"/>
    </xf>
    <xf numFmtId="0" fontId="24" fillId="36" borderId="16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9"/>
  <sheetViews>
    <sheetView showGridLines="0" workbookViewId="0">
      <selection activeCell="C862" sqref="C862"/>
    </sheetView>
  </sheetViews>
  <sheetFormatPr baseColWidth="10" defaultColWidth="11.42578125" defaultRowHeight="15" x14ac:dyDescent="0.25"/>
  <cols>
    <col min="1" max="1" width="7.140625" customWidth="1"/>
    <col min="2" max="2" width="11.42578125" customWidth="1"/>
    <col min="3" max="3" width="41.85546875" bestFit="1" customWidth="1"/>
    <col min="4" max="4" width="21.42578125" customWidth="1"/>
    <col min="5" max="5" width="14.28515625" customWidth="1"/>
    <col min="6" max="6" width="35.7109375" customWidth="1"/>
    <col min="7" max="9" width="11.42578125" style="7"/>
  </cols>
  <sheetData>
    <row r="1" spans="1:9" ht="22.5" x14ac:dyDescent="0.3">
      <c r="A1" s="1" t="s">
        <v>0</v>
      </c>
    </row>
    <row r="2" spans="1:9" ht="15.75" thickBot="1" x14ac:dyDescent="0.3"/>
    <row r="3" spans="1:9" ht="24.75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15.75" thickBot="1" x14ac:dyDescent="0.3">
      <c r="A4" s="3">
        <v>35</v>
      </c>
      <c r="B4" s="3" t="str">
        <f>"19938011G"</f>
        <v>19938011G</v>
      </c>
      <c r="C4" s="5" t="s">
        <v>10</v>
      </c>
      <c r="D4" s="4" t="s">
        <v>11</v>
      </c>
      <c r="E4" s="4" t="str">
        <f>"AXTC"</f>
        <v>AXTC</v>
      </c>
      <c r="F4" s="4" t="s">
        <v>12</v>
      </c>
      <c r="G4" s="4">
        <v>4</v>
      </c>
      <c r="H4" s="4">
        <v>6</v>
      </c>
      <c r="I4" s="4">
        <v>0</v>
      </c>
    </row>
    <row r="5" spans="1:9" ht="15.75" thickBot="1" x14ac:dyDescent="0.3">
      <c r="A5" s="3">
        <v>41</v>
      </c>
      <c r="B5" s="3" t="str">
        <f>"19928007G"</f>
        <v>19928007G</v>
      </c>
      <c r="C5" s="5" t="s">
        <v>13</v>
      </c>
      <c r="D5" s="4" t="s">
        <v>11</v>
      </c>
      <c r="E5" s="4" t="str">
        <f>"PRTC"</f>
        <v>PRTC</v>
      </c>
      <c r="F5" s="4" t="s">
        <v>12</v>
      </c>
      <c r="G5" s="4">
        <v>17</v>
      </c>
      <c r="H5" s="4">
        <v>4</v>
      </c>
      <c r="I5" s="4">
        <v>20</v>
      </c>
    </row>
    <row r="6" spans="1:9" ht="15.75" thickBot="1" x14ac:dyDescent="0.3">
      <c r="A6" s="3">
        <v>47</v>
      </c>
      <c r="B6" s="3" t="str">
        <f>"19938012C"</f>
        <v>19938012C</v>
      </c>
      <c r="C6" s="5" t="s">
        <v>14</v>
      </c>
      <c r="D6" s="4" t="s">
        <v>11</v>
      </c>
      <c r="E6" s="4" t="str">
        <f>"AXTP"</f>
        <v>AXTP</v>
      </c>
      <c r="F6" s="4" t="s">
        <v>12</v>
      </c>
      <c r="G6" s="4">
        <v>23</v>
      </c>
      <c r="H6" s="4">
        <v>7</v>
      </c>
      <c r="I6" s="4">
        <v>17</v>
      </c>
    </row>
    <row r="7" spans="1:9" ht="15.75" thickBot="1" x14ac:dyDescent="0.3">
      <c r="A7" s="3">
        <v>63</v>
      </c>
      <c r="B7" s="3" t="str">
        <f>"19908016K"</f>
        <v>19908016K</v>
      </c>
      <c r="C7" s="5" t="s">
        <v>15</v>
      </c>
      <c r="D7" s="4" t="s">
        <v>11</v>
      </c>
      <c r="E7" s="4" t="str">
        <f>"ASTC"</f>
        <v>ASTC</v>
      </c>
      <c r="F7" s="4" t="s">
        <v>12</v>
      </c>
      <c r="G7" s="4">
        <v>13</v>
      </c>
      <c r="H7" s="4">
        <v>2</v>
      </c>
      <c r="I7" s="4">
        <v>14</v>
      </c>
    </row>
    <row r="8" spans="1:9" ht="15.75" thickBot="1" x14ac:dyDescent="0.3">
      <c r="A8" s="3">
        <v>81</v>
      </c>
      <c r="B8" s="3" t="str">
        <f>"20188063J"</f>
        <v>20188063J</v>
      </c>
      <c r="C8" s="5" t="s">
        <v>16</v>
      </c>
      <c r="D8" s="4" t="s">
        <v>11</v>
      </c>
      <c r="E8" s="4" t="str">
        <f>"AXTP"</f>
        <v>AXTP</v>
      </c>
      <c r="F8" s="4" t="s">
        <v>12</v>
      </c>
      <c r="G8" s="4">
        <v>4</v>
      </c>
      <c r="H8" s="4">
        <v>6</v>
      </c>
      <c r="I8" s="4">
        <v>0</v>
      </c>
    </row>
    <row r="9" spans="1:9" ht="15.75" thickBot="1" x14ac:dyDescent="0.3">
      <c r="A9" s="3">
        <v>85</v>
      </c>
      <c r="B9" s="3" t="str">
        <f>"19998061K"</f>
        <v>19998061K</v>
      </c>
      <c r="C9" s="5" t="s">
        <v>17</v>
      </c>
      <c r="D9" s="4" t="s">
        <v>11</v>
      </c>
      <c r="E9" s="4" t="str">
        <f>"ASTP"</f>
        <v>ASTP</v>
      </c>
      <c r="F9" s="4" t="s">
        <v>12</v>
      </c>
      <c r="G9" s="4">
        <v>23</v>
      </c>
      <c r="H9" s="4">
        <v>9</v>
      </c>
      <c r="I9" s="4">
        <v>6</v>
      </c>
    </row>
    <row r="10" spans="1:9" ht="15.75" thickBot="1" x14ac:dyDescent="0.3">
      <c r="A10" s="3">
        <v>90</v>
      </c>
      <c r="B10" s="3" t="str">
        <f>"19908064E"</f>
        <v>19908064E</v>
      </c>
      <c r="C10" s="5" t="s">
        <v>18</v>
      </c>
      <c r="D10" s="4" t="s">
        <v>11</v>
      </c>
      <c r="E10" s="4" t="str">
        <f>"PRTC"</f>
        <v>PRTC</v>
      </c>
      <c r="F10" s="4" t="s">
        <v>12</v>
      </c>
      <c r="G10" s="4">
        <v>23</v>
      </c>
      <c r="H10" s="4">
        <v>7</v>
      </c>
      <c r="I10" s="4">
        <v>17</v>
      </c>
    </row>
    <row r="11" spans="1:9" ht="15.75" thickBot="1" x14ac:dyDescent="0.3">
      <c r="A11" s="3">
        <v>103</v>
      </c>
      <c r="B11" s="3" t="str">
        <f>"19858069I"</f>
        <v>19858069I</v>
      </c>
      <c r="C11" s="5" t="s">
        <v>19</v>
      </c>
      <c r="D11" s="4" t="s">
        <v>11</v>
      </c>
      <c r="E11" s="4" t="str">
        <f>"PRTC"</f>
        <v>PRTC</v>
      </c>
      <c r="F11" s="4" t="s">
        <v>12</v>
      </c>
      <c r="G11" s="4">
        <v>28</v>
      </c>
      <c r="H11" s="4">
        <v>2</v>
      </c>
      <c r="I11" s="4">
        <v>25</v>
      </c>
    </row>
    <row r="12" spans="1:9" ht="15.75" thickBot="1" x14ac:dyDescent="0.3">
      <c r="A12" s="3">
        <v>112</v>
      </c>
      <c r="B12" s="3" t="str">
        <f>"19748082K"</f>
        <v>19748082K</v>
      </c>
      <c r="C12" s="5" t="s">
        <v>20</v>
      </c>
      <c r="D12" s="4" t="s">
        <v>11</v>
      </c>
      <c r="E12" s="4" t="str">
        <f>"PRTC"</f>
        <v>PRTC</v>
      </c>
      <c r="F12" s="4" t="s">
        <v>12</v>
      </c>
      <c r="G12" s="4">
        <v>35</v>
      </c>
      <c r="H12" s="4">
        <v>10</v>
      </c>
      <c r="I12" s="4">
        <v>9</v>
      </c>
    </row>
    <row r="13" spans="1:9" ht="15.75" thickBot="1" x14ac:dyDescent="0.3">
      <c r="A13" s="3">
        <v>134</v>
      </c>
      <c r="B13" s="3" t="str">
        <f>"19948063J"</f>
        <v>19948063J</v>
      </c>
      <c r="C13" s="5" t="s">
        <v>21</v>
      </c>
      <c r="D13" s="4" t="s">
        <v>11</v>
      </c>
      <c r="E13" s="4" t="str">
        <f>"PRTC"</f>
        <v>PRTC</v>
      </c>
      <c r="F13" s="4" t="s">
        <v>12</v>
      </c>
      <c r="G13" s="4">
        <v>13</v>
      </c>
      <c r="H13" s="4">
        <v>2</v>
      </c>
      <c r="I13" s="4">
        <v>14</v>
      </c>
    </row>
    <row r="14" spans="1:9" ht="15.75" thickBot="1" x14ac:dyDescent="0.3">
      <c r="A14" s="3">
        <v>147</v>
      </c>
      <c r="B14" s="3" t="str">
        <f>"19948128D"</f>
        <v>19948128D</v>
      </c>
      <c r="C14" s="5" t="s">
        <v>22</v>
      </c>
      <c r="D14" s="4" t="s">
        <v>11</v>
      </c>
      <c r="E14" s="4" t="str">
        <f>"PRTC"</f>
        <v>PRTC</v>
      </c>
      <c r="F14" s="4" t="s">
        <v>12</v>
      </c>
      <c r="G14" s="4">
        <v>14</v>
      </c>
      <c r="H14" s="4">
        <v>1</v>
      </c>
      <c r="I14" s="4">
        <v>0</v>
      </c>
    </row>
    <row r="15" spans="1:9" ht="15.75" thickBot="1" x14ac:dyDescent="0.3">
      <c r="A15" s="3">
        <v>173</v>
      </c>
      <c r="B15" s="3" t="str">
        <f>"19888125D"</f>
        <v>19888125D</v>
      </c>
      <c r="C15" s="5" t="s">
        <v>23</v>
      </c>
      <c r="D15" s="4" t="s">
        <v>11</v>
      </c>
      <c r="E15" s="4" t="str">
        <f>"ASTC"</f>
        <v>ASTC</v>
      </c>
      <c r="F15" s="4" t="s">
        <v>12</v>
      </c>
      <c r="G15" s="4">
        <v>23</v>
      </c>
      <c r="H15" s="4">
        <v>9</v>
      </c>
      <c r="I15" s="4">
        <v>6</v>
      </c>
    </row>
    <row r="16" spans="1:9" ht="15.75" thickBot="1" x14ac:dyDescent="0.3">
      <c r="A16" s="3">
        <v>196</v>
      </c>
      <c r="B16" s="3" t="str">
        <f>"19858139G"</f>
        <v>19858139G</v>
      </c>
      <c r="C16" s="5" t="s">
        <v>24</v>
      </c>
      <c r="D16" s="4" t="s">
        <v>11</v>
      </c>
      <c r="E16" s="4" t="str">
        <f>"PRTC"</f>
        <v>PRTC</v>
      </c>
      <c r="F16" s="4" t="s">
        <v>12</v>
      </c>
      <c r="G16" s="4">
        <v>26</v>
      </c>
      <c r="H16" s="4">
        <v>5</v>
      </c>
      <c r="I16" s="4">
        <v>27</v>
      </c>
    </row>
    <row r="17" spans="1:9" ht="15.75" thickBot="1" x14ac:dyDescent="0.3">
      <c r="A17" s="3">
        <v>219</v>
      </c>
      <c r="B17" s="3" t="str">
        <f>"19898131G"</f>
        <v>19898131G</v>
      </c>
      <c r="C17" s="5" t="s">
        <v>25</v>
      </c>
      <c r="D17" s="4" t="s">
        <v>11</v>
      </c>
      <c r="E17" s="4" t="str">
        <f>"ASTC"</f>
        <v>ASTC</v>
      </c>
      <c r="F17" s="4" t="s">
        <v>12</v>
      </c>
      <c r="G17" s="4">
        <v>27</v>
      </c>
      <c r="H17" s="4">
        <v>3</v>
      </c>
      <c r="I17" s="4">
        <v>14</v>
      </c>
    </row>
    <row r="18" spans="1:9" ht="15.75" thickBot="1" x14ac:dyDescent="0.3">
      <c r="A18" s="3">
        <v>227</v>
      </c>
      <c r="B18" s="3" t="str">
        <f>"19958123E"</f>
        <v>19958123E</v>
      </c>
      <c r="C18" s="5" t="s">
        <v>26</v>
      </c>
      <c r="D18" s="4" t="s">
        <v>11</v>
      </c>
      <c r="E18" s="4" t="str">
        <f>"AXTP"</f>
        <v>AXTP</v>
      </c>
      <c r="F18" s="4" t="s">
        <v>12</v>
      </c>
      <c r="G18" s="4">
        <v>4</v>
      </c>
      <c r="H18" s="4">
        <v>6</v>
      </c>
      <c r="I18" s="4">
        <v>0</v>
      </c>
    </row>
    <row r="19" spans="1:9" ht="15.75" thickBot="1" x14ac:dyDescent="0.3">
      <c r="A19" s="3">
        <v>238</v>
      </c>
      <c r="B19" s="3" t="str">
        <f>"19908126K"</f>
        <v>19908126K</v>
      </c>
      <c r="C19" s="5" t="s">
        <v>27</v>
      </c>
      <c r="D19" s="4" t="s">
        <v>28</v>
      </c>
      <c r="E19" s="4" t="str">
        <f>"PRTC"</f>
        <v>PRTC</v>
      </c>
      <c r="F19" s="4" t="s">
        <v>12</v>
      </c>
      <c r="G19" s="4">
        <v>14</v>
      </c>
      <c r="H19" s="4">
        <v>1</v>
      </c>
      <c r="I19" s="4">
        <v>0</v>
      </c>
    </row>
    <row r="20" spans="1:9" ht="15.75" thickBot="1" x14ac:dyDescent="0.3">
      <c r="A20" s="3">
        <v>239</v>
      </c>
      <c r="B20" s="3" t="str">
        <f>"19928134I"</f>
        <v>19928134I</v>
      </c>
      <c r="C20" s="5" t="s">
        <v>29</v>
      </c>
      <c r="D20" s="4" t="s">
        <v>11</v>
      </c>
      <c r="E20" s="4" t="str">
        <f>"AXTC"</f>
        <v>AXTC</v>
      </c>
      <c r="F20" s="4" t="s">
        <v>12</v>
      </c>
      <c r="G20" s="4">
        <v>3</v>
      </c>
      <c r="H20" s="4">
        <v>6</v>
      </c>
      <c r="I20" s="4">
        <v>18</v>
      </c>
    </row>
    <row r="21" spans="1:9" ht="15.75" thickBot="1" x14ac:dyDescent="0.3">
      <c r="A21" s="3">
        <v>248</v>
      </c>
      <c r="B21" s="3" t="str">
        <f>"20168124C"</f>
        <v>20168124C</v>
      </c>
      <c r="C21" s="5" t="s">
        <v>30</v>
      </c>
      <c r="D21" s="4" t="s">
        <v>11</v>
      </c>
      <c r="E21" s="4" t="str">
        <f>"AXTP"</f>
        <v>AXTP</v>
      </c>
      <c r="F21" s="4" t="s">
        <v>12</v>
      </c>
      <c r="G21" s="4">
        <v>4</v>
      </c>
      <c r="H21" s="4">
        <v>6</v>
      </c>
      <c r="I21" s="4">
        <v>0</v>
      </c>
    </row>
    <row r="22" spans="1:9" ht="15.75" thickBot="1" x14ac:dyDescent="0.3">
      <c r="A22" s="3">
        <v>260</v>
      </c>
      <c r="B22" s="3" t="str">
        <f>"20198117E"</f>
        <v>20198117E</v>
      </c>
      <c r="C22" s="5" t="s">
        <v>31</v>
      </c>
      <c r="D22" s="4" t="s">
        <v>11</v>
      </c>
      <c r="E22" s="4" t="str">
        <f>"AXTC"</f>
        <v>AXTC</v>
      </c>
      <c r="F22" s="4" t="s">
        <v>12</v>
      </c>
      <c r="G22" s="4">
        <v>4</v>
      </c>
      <c r="H22" s="4">
        <v>5</v>
      </c>
      <c r="I22" s="4">
        <v>28</v>
      </c>
    </row>
    <row r="23" spans="1:9" ht="15.75" thickBot="1" x14ac:dyDescent="0.3">
      <c r="A23" s="3">
        <v>281</v>
      </c>
      <c r="B23" s="3" t="str">
        <f>"19848142E"</f>
        <v>19848142E</v>
      </c>
      <c r="C23" s="5" t="s">
        <v>32</v>
      </c>
      <c r="D23" s="4" t="s">
        <v>11</v>
      </c>
      <c r="E23" s="4" t="str">
        <f>"PRTC"</f>
        <v>PRTC</v>
      </c>
      <c r="F23" s="4" t="s">
        <v>12</v>
      </c>
      <c r="G23" s="4">
        <v>28</v>
      </c>
      <c r="H23" s="4">
        <v>3</v>
      </c>
      <c r="I23" s="4">
        <v>6</v>
      </c>
    </row>
    <row r="24" spans="1:9" ht="15.75" thickBot="1" x14ac:dyDescent="0.3">
      <c r="A24" s="3">
        <v>295</v>
      </c>
      <c r="B24" s="3" t="str">
        <f>"20158211K"</f>
        <v>20158211K</v>
      </c>
      <c r="C24" s="5" t="s">
        <v>33</v>
      </c>
      <c r="D24" s="4" t="s">
        <v>11</v>
      </c>
      <c r="E24" s="4" t="str">
        <f>"AXTP"</f>
        <v>AXTP</v>
      </c>
      <c r="F24" s="4" t="s">
        <v>12</v>
      </c>
      <c r="G24" s="4">
        <v>4</v>
      </c>
      <c r="H24" s="4">
        <v>6</v>
      </c>
      <c r="I24" s="4">
        <v>0</v>
      </c>
    </row>
    <row r="25" spans="1:9" ht="15.75" thickBot="1" x14ac:dyDescent="0.3">
      <c r="A25" s="3">
        <v>305</v>
      </c>
      <c r="B25" s="3" t="str">
        <f>"19868213E"</f>
        <v>19868213E</v>
      </c>
      <c r="C25" s="5" t="s">
        <v>34</v>
      </c>
      <c r="D25" s="4" t="s">
        <v>11</v>
      </c>
      <c r="E25" s="4" t="str">
        <f>"PRTC"</f>
        <v>PRTC</v>
      </c>
      <c r="F25" s="4" t="s">
        <v>12</v>
      </c>
      <c r="G25" s="4">
        <v>26</v>
      </c>
      <c r="H25" s="4">
        <v>6</v>
      </c>
      <c r="I25" s="4">
        <v>0</v>
      </c>
    </row>
    <row r="26" spans="1:9" ht="15.75" thickBot="1" x14ac:dyDescent="0.3">
      <c r="A26" s="3">
        <v>313</v>
      </c>
      <c r="B26" s="3" t="str">
        <f>"20188211I"</f>
        <v>20188211I</v>
      </c>
      <c r="C26" s="5" t="s">
        <v>35</v>
      </c>
      <c r="D26" s="4" t="s">
        <v>11</v>
      </c>
      <c r="E26" s="4" t="str">
        <f>"AXTC"</f>
        <v>AXTC</v>
      </c>
      <c r="F26" s="4" t="s">
        <v>12</v>
      </c>
      <c r="G26" s="4">
        <v>4</v>
      </c>
      <c r="H26" s="4">
        <v>6</v>
      </c>
      <c r="I26" s="4">
        <v>0</v>
      </c>
    </row>
    <row r="27" spans="1:9" ht="15.75" thickBot="1" x14ac:dyDescent="0.3">
      <c r="A27" s="3">
        <v>319</v>
      </c>
      <c r="B27" s="3" t="str">
        <f>"20168214B"</f>
        <v>20168214B</v>
      </c>
      <c r="C27" s="5" t="s">
        <v>36</v>
      </c>
      <c r="D27" s="4" t="s">
        <v>11</v>
      </c>
      <c r="E27" s="4" t="str">
        <f>"AXTP"</f>
        <v>AXTP</v>
      </c>
      <c r="F27" s="4" t="s">
        <v>12</v>
      </c>
      <c r="G27" s="4">
        <v>4</v>
      </c>
      <c r="H27" s="4">
        <v>6</v>
      </c>
      <c r="I27" s="4">
        <v>0</v>
      </c>
    </row>
    <row r="28" spans="1:9" ht="15.75" thickBot="1" x14ac:dyDescent="0.3">
      <c r="A28" s="3">
        <v>324</v>
      </c>
      <c r="B28" s="3" t="str">
        <f>"20208224C"</f>
        <v>20208224C</v>
      </c>
      <c r="C28" s="5" t="s">
        <v>37</v>
      </c>
      <c r="D28" s="4" t="s">
        <v>11</v>
      </c>
      <c r="E28" s="4" t="str">
        <f>"AXTC"</f>
        <v>AXTC</v>
      </c>
      <c r="F28" s="4" t="s">
        <v>12</v>
      </c>
      <c r="G28" s="4">
        <v>4</v>
      </c>
      <c r="H28" s="4">
        <v>5</v>
      </c>
      <c r="I28" s="4">
        <v>29</v>
      </c>
    </row>
    <row r="29" spans="1:9" ht="15.75" thickBot="1" x14ac:dyDescent="0.3">
      <c r="A29" s="3">
        <v>361</v>
      </c>
      <c r="B29" s="3" t="str">
        <f>"19878275C"</f>
        <v>19878275C</v>
      </c>
      <c r="C29" s="5" t="s">
        <v>38</v>
      </c>
      <c r="D29" s="4" t="s">
        <v>11</v>
      </c>
      <c r="E29" s="4" t="str">
        <f>"ASTC"</f>
        <v>ASTC</v>
      </c>
      <c r="F29" s="4" t="s">
        <v>12</v>
      </c>
      <c r="G29" s="4">
        <v>29</v>
      </c>
      <c r="H29" s="4">
        <v>8</v>
      </c>
      <c r="I29" s="4">
        <v>7</v>
      </c>
    </row>
    <row r="30" spans="1:9" ht="15.75" thickBot="1" x14ac:dyDescent="0.3">
      <c r="A30" s="3">
        <v>363</v>
      </c>
      <c r="B30" s="3" t="str">
        <f>"19808274H"</f>
        <v>19808274H</v>
      </c>
      <c r="C30" s="5" t="s">
        <v>39</v>
      </c>
      <c r="D30" s="4" t="s">
        <v>11</v>
      </c>
      <c r="E30" s="4" t="str">
        <f>"AXTC"</f>
        <v>AXTC</v>
      </c>
      <c r="F30" s="4" t="s">
        <v>12</v>
      </c>
      <c r="G30" s="4">
        <v>15</v>
      </c>
      <c r="H30" s="4">
        <v>1</v>
      </c>
      <c r="I30" s="4">
        <v>21</v>
      </c>
    </row>
    <row r="31" spans="1:9" ht="15.75" thickBot="1" x14ac:dyDescent="0.3">
      <c r="A31" s="3">
        <v>391</v>
      </c>
      <c r="B31" s="3" t="str">
        <f>"19968307A"</f>
        <v>19968307A</v>
      </c>
      <c r="C31" s="5" t="s">
        <v>40</v>
      </c>
      <c r="D31" s="4" t="s">
        <v>11</v>
      </c>
      <c r="E31" s="4" t="str">
        <f>"AXTC"</f>
        <v>AXTC</v>
      </c>
      <c r="F31" s="4" t="s">
        <v>12</v>
      </c>
      <c r="G31" s="4">
        <v>23</v>
      </c>
      <c r="H31" s="4">
        <v>7</v>
      </c>
      <c r="I31" s="4">
        <v>17</v>
      </c>
    </row>
    <row r="32" spans="1:9" ht="15.75" thickBot="1" x14ac:dyDescent="0.3">
      <c r="A32" s="3">
        <v>410</v>
      </c>
      <c r="B32" s="3" t="str">
        <f>"20058301H"</f>
        <v>20058301H</v>
      </c>
      <c r="C32" s="5" t="s">
        <v>41</v>
      </c>
      <c r="D32" s="4" t="s">
        <v>11</v>
      </c>
      <c r="E32" s="4" t="str">
        <f>"ASTC"</f>
        <v>ASTC</v>
      </c>
      <c r="F32" s="4" t="s">
        <v>12</v>
      </c>
      <c r="G32" s="4">
        <v>7</v>
      </c>
      <c r="H32" s="4">
        <v>3</v>
      </c>
      <c r="I32" s="4">
        <v>11</v>
      </c>
    </row>
    <row r="33" spans="1:9" ht="15.75" thickBot="1" x14ac:dyDescent="0.3">
      <c r="A33" s="3">
        <v>413</v>
      </c>
      <c r="B33" s="3" t="str">
        <f>"19948303K"</f>
        <v>19948303K</v>
      </c>
      <c r="C33" s="5" t="s">
        <v>42</v>
      </c>
      <c r="D33" s="4" t="s">
        <v>11</v>
      </c>
      <c r="E33" s="4" t="str">
        <f>"ASTC"</f>
        <v>ASTC</v>
      </c>
      <c r="F33" s="4" t="s">
        <v>12</v>
      </c>
      <c r="G33" s="4">
        <v>26</v>
      </c>
      <c r="H33" s="4">
        <v>1</v>
      </c>
      <c r="I33" s="4">
        <v>0</v>
      </c>
    </row>
    <row r="34" spans="1:9" ht="15.75" thickBot="1" x14ac:dyDescent="0.3">
      <c r="A34" s="3">
        <v>429</v>
      </c>
      <c r="B34" s="3" t="str">
        <f>"19898306A"</f>
        <v>19898306A</v>
      </c>
      <c r="C34" s="5" t="s">
        <v>43</v>
      </c>
      <c r="D34" s="4" t="s">
        <v>11</v>
      </c>
      <c r="E34" s="4" t="str">
        <f>"ASTC"</f>
        <v>ASTC</v>
      </c>
      <c r="F34" s="4" t="s">
        <v>12</v>
      </c>
      <c r="G34" s="4">
        <v>26</v>
      </c>
      <c r="H34" s="4">
        <v>6</v>
      </c>
      <c r="I34" s="4">
        <v>0</v>
      </c>
    </row>
    <row r="35" spans="1:9" ht="15.75" thickBot="1" x14ac:dyDescent="0.3">
      <c r="A35" s="3">
        <v>434</v>
      </c>
      <c r="B35" s="3" t="str">
        <f>"19908354C"</f>
        <v>19908354C</v>
      </c>
      <c r="C35" s="5" t="s">
        <v>44</v>
      </c>
      <c r="D35" s="4" t="s">
        <v>11</v>
      </c>
      <c r="E35" s="4" t="str">
        <f>"ASTC"</f>
        <v>ASTC</v>
      </c>
      <c r="F35" s="4" t="s">
        <v>12</v>
      </c>
      <c r="G35" s="4">
        <v>22</v>
      </c>
      <c r="H35" s="4">
        <v>3</v>
      </c>
      <c r="I35" s="4">
        <v>24</v>
      </c>
    </row>
    <row r="36" spans="1:9" ht="15.75" thickBot="1" x14ac:dyDescent="0.3">
      <c r="A36" s="3">
        <v>441</v>
      </c>
      <c r="B36" s="3" t="str">
        <f>"20228310B"</f>
        <v>20228310B</v>
      </c>
      <c r="C36" s="5" t="s">
        <v>45</v>
      </c>
      <c r="D36" s="4" t="s">
        <v>11</v>
      </c>
      <c r="E36" s="4" t="str">
        <f>"AXTP"</f>
        <v>AXTP</v>
      </c>
      <c r="F36" s="4" t="s">
        <v>12</v>
      </c>
      <c r="G36" s="4">
        <v>3</v>
      </c>
      <c r="H36" s="4">
        <v>6</v>
      </c>
      <c r="I36" s="4">
        <v>18</v>
      </c>
    </row>
    <row r="37" spans="1:9" ht="15.75" thickBot="1" x14ac:dyDescent="0.3">
      <c r="A37" s="3">
        <v>478</v>
      </c>
      <c r="B37" s="3" t="str">
        <f>"19968372H"</f>
        <v>19968372H</v>
      </c>
      <c r="C37" s="5" t="s">
        <v>46</v>
      </c>
      <c r="D37" s="4" t="s">
        <v>11</v>
      </c>
      <c r="E37" s="4" t="str">
        <f>"AXTC"</f>
        <v>AXTC</v>
      </c>
      <c r="F37" s="4" t="s">
        <v>12</v>
      </c>
      <c r="G37" s="4">
        <v>22</v>
      </c>
      <c r="H37" s="4">
        <v>7</v>
      </c>
      <c r="I37" s="4">
        <v>0</v>
      </c>
    </row>
    <row r="38" spans="1:9" ht="15.75" thickBot="1" x14ac:dyDescent="0.3">
      <c r="A38" s="3">
        <v>483</v>
      </c>
      <c r="B38" s="3" t="str">
        <f>"19928401G"</f>
        <v>19928401G</v>
      </c>
      <c r="C38" s="5" t="s">
        <v>47</v>
      </c>
      <c r="D38" s="4" t="s">
        <v>11</v>
      </c>
      <c r="E38" s="4" t="str">
        <f>"ASTC"</f>
        <v>ASTC</v>
      </c>
      <c r="F38" s="4" t="s">
        <v>12</v>
      </c>
      <c r="G38" s="4">
        <v>26</v>
      </c>
      <c r="H38" s="4">
        <v>6</v>
      </c>
      <c r="I38" s="4">
        <v>0</v>
      </c>
    </row>
    <row r="39" spans="1:9" ht="15.75" thickBot="1" x14ac:dyDescent="0.3">
      <c r="A39" s="3">
        <v>491</v>
      </c>
      <c r="B39" s="3" t="str">
        <f>"19848421A"</f>
        <v>19848421A</v>
      </c>
      <c r="C39" s="5" t="s">
        <v>48</v>
      </c>
      <c r="D39" s="4" t="s">
        <v>11</v>
      </c>
      <c r="E39" s="4" t="str">
        <f>"ASTC"</f>
        <v>ASTC</v>
      </c>
      <c r="F39" s="4" t="s">
        <v>12</v>
      </c>
      <c r="G39" s="4">
        <v>23</v>
      </c>
      <c r="H39" s="4">
        <v>7</v>
      </c>
      <c r="I39" s="4">
        <v>3</v>
      </c>
    </row>
    <row r="40" spans="1:9" ht="15.75" thickBot="1" x14ac:dyDescent="0.3">
      <c r="A40" s="3">
        <v>511</v>
      </c>
      <c r="B40" s="3" t="str">
        <f>"19848441B"</f>
        <v>19848441B</v>
      </c>
      <c r="C40" s="5" t="s">
        <v>49</v>
      </c>
      <c r="D40" s="4" t="s">
        <v>11</v>
      </c>
      <c r="E40" s="4" t="str">
        <f>"PRTC"</f>
        <v>PRTC</v>
      </c>
      <c r="F40" s="4" t="s">
        <v>12</v>
      </c>
      <c r="G40" s="4">
        <v>26</v>
      </c>
      <c r="H40" s="4">
        <v>5</v>
      </c>
      <c r="I40" s="4">
        <v>10</v>
      </c>
    </row>
    <row r="41" spans="1:9" ht="15.75" thickBot="1" x14ac:dyDescent="0.3">
      <c r="A41" s="3">
        <v>514</v>
      </c>
      <c r="B41" s="3" t="str">
        <f>"20058444C"</f>
        <v>20058444C</v>
      </c>
      <c r="C41" s="5" t="s">
        <v>50</v>
      </c>
      <c r="D41" s="4" t="s">
        <v>11</v>
      </c>
      <c r="E41" s="4" t="str">
        <f>"AXTC"</f>
        <v>AXTC</v>
      </c>
      <c r="F41" s="4" t="s">
        <v>12</v>
      </c>
      <c r="G41" s="4">
        <v>3</v>
      </c>
      <c r="H41" s="4">
        <v>6</v>
      </c>
      <c r="I41" s="4">
        <v>18</v>
      </c>
    </row>
    <row r="42" spans="1:9" ht="15.75" thickBot="1" x14ac:dyDescent="0.3">
      <c r="A42" s="3">
        <v>515</v>
      </c>
      <c r="B42" s="3" t="str">
        <f>"19918441F"</f>
        <v>19918441F</v>
      </c>
      <c r="C42" s="5" t="s">
        <v>51</v>
      </c>
      <c r="D42" s="4" t="s">
        <v>11</v>
      </c>
      <c r="E42" s="4" t="str">
        <f>"ASTC"</f>
        <v>ASTC</v>
      </c>
      <c r="F42" s="4" t="s">
        <v>12</v>
      </c>
      <c r="G42" s="4">
        <v>6</v>
      </c>
      <c r="H42" s="4">
        <v>4</v>
      </c>
      <c r="I42" s="4">
        <v>12</v>
      </c>
    </row>
    <row r="43" spans="1:9" ht="15.75" thickBot="1" x14ac:dyDescent="0.3">
      <c r="A43" s="3">
        <v>532</v>
      </c>
      <c r="B43" s="3" t="str">
        <f>"19798441D"</f>
        <v>19798441D</v>
      </c>
      <c r="C43" s="5" t="s">
        <v>52</v>
      </c>
      <c r="D43" s="4" t="s">
        <v>11</v>
      </c>
      <c r="E43" s="4" t="str">
        <f>"PRTC"</f>
        <v>PRTC</v>
      </c>
      <c r="F43" s="4" t="s">
        <v>12</v>
      </c>
      <c r="G43" s="4">
        <v>29</v>
      </c>
      <c r="H43" s="4">
        <v>10</v>
      </c>
      <c r="I43" s="4">
        <v>3</v>
      </c>
    </row>
    <row r="44" spans="1:9" ht="15.75" thickBot="1" x14ac:dyDescent="0.3">
      <c r="A44" s="3">
        <v>537</v>
      </c>
      <c r="B44" s="3" t="str">
        <f>"19888441C"</f>
        <v>19888441C</v>
      </c>
      <c r="C44" s="5" t="s">
        <v>53</v>
      </c>
      <c r="D44" s="4" t="s">
        <v>11</v>
      </c>
      <c r="E44" s="4" t="str">
        <f>"PRTC"</f>
        <v>PRTC</v>
      </c>
      <c r="F44" s="4" t="s">
        <v>12</v>
      </c>
      <c r="G44" s="4">
        <v>17</v>
      </c>
      <c r="H44" s="4">
        <v>4</v>
      </c>
      <c r="I44" s="4">
        <v>4</v>
      </c>
    </row>
    <row r="45" spans="1:9" ht="15.75" thickBot="1" x14ac:dyDescent="0.3">
      <c r="A45" s="3">
        <v>542</v>
      </c>
      <c r="B45" s="3" t="str">
        <f>"20108441B"</f>
        <v>20108441B</v>
      </c>
      <c r="C45" s="5" t="s">
        <v>54</v>
      </c>
      <c r="D45" s="4" t="s">
        <v>11</v>
      </c>
      <c r="E45" s="4" t="str">
        <f>"AXTP"</f>
        <v>AXTP</v>
      </c>
      <c r="F45" s="4" t="s">
        <v>12</v>
      </c>
      <c r="G45" s="4">
        <v>16</v>
      </c>
      <c r="H45" s="4">
        <v>6</v>
      </c>
      <c r="I45" s="4">
        <v>0</v>
      </c>
    </row>
    <row r="46" spans="1:9" ht="15.75" thickBot="1" x14ac:dyDescent="0.3">
      <c r="A46" s="3">
        <v>579</v>
      </c>
      <c r="B46" s="3" t="str">
        <f>"19848511K"</f>
        <v>19848511K</v>
      </c>
      <c r="C46" s="5" t="s">
        <v>55</v>
      </c>
      <c r="D46" s="4" t="s">
        <v>11</v>
      </c>
      <c r="E46" s="4" t="str">
        <f>"PRTC"</f>
        <v>PRTC</v>
      </c>
      <c r="F46" s="4" t="s">
        <v>12</v>
      </c>
      <c r="G46" s="4">
        <v>28</v>
      </c>
      <c r="H46" s="4">
        <v>6</v>
      </c>
      <c r="I46" s="4">
        <v>23</v>
      </c>
    </row>
    <row r="47" spans="1:9" ht="15.75" thickBot="1" x14ac:dyDescent="0.3">
      <c r="A47" s="3">
        <v>593</v>
      </c>
      <c r="B47" s="3" t="str">
        <f>"20108507C"</f>
        <v>20108507C</v>
      </c>
      <c r="C47" s="5" t="s">
        <v>56</v>
      </c>
      <c r="D47" s="4" t="s">
        <v>11</v>
      </c>
      <c r="E47" s="4" t="str">
        <f>"AXTP"</f>
        <v>AXTP</v>
      </c>
      <c r="F47" s="4" t="s">
        <v>12</v>
      </c>
      <c r="G47" s="4">
        <v>4</v>
      </c>
      <c r="H47" s="4">
        <v>6</v>
      </c>
      <c r="I47" s="4">
        <v>0</v>
      </c>
    </row>
    <row r="48" spans="1:9" ht="15.75" thickBot="1" x14ac:dyDescent="0.3">
      <c r="A48" s="3">
        <v>596</v>
      </c>
      <c r="B48" s="3" t="str">
        <f>"19808523H"</f>
        <v>19808523H</v>
      </c>
      <c r="C48" s="5" t="s">
        <v>57</v>
      </c>
      <c r="D48" s="4" t="s">
        <v>11</v>
      </c>
      <c r="E48" s="4" t="str">
        <f>"PRTC"</f>
        <v>PRTC</v>
      </c>
      <c r="F48" s="4" t="s">
        <v>12</v>
      </c>
      <c r="G48" s="4">
        <v>28</v>
      </c>
      <c r="H48" s="4">
        <v>3</v>
      </c>
      <c r="I48" s="4">
        <v>6</v>
      </c>
    </row>
    <row r="49" spans="1:9" ht="15.75" thickBot="1" x14ac:dyDescent="0.3">
      <c r="A49" s="3">
        <v>614</v>
      </c>
      <c r="B49" s="3" t="str">
        <f>"19948504F"</f>
        <v>19948504F</v>
      </c>
      <c r="C49" s="5" t="s">
        <v>58</v>
      </c>
      <c r="D49" s="4" t="s">
        <v>11</v>
      </c>
      <c r="E49" s="4" t="str">
        <f>"ASTC"</f>
        <v>ASTC</v>
      </c>
      <c r="F49" s="4" t="s">
        <v>12</v>
      </c>
      <c r="G49" s="4">
        <v>23</v>
      </c>
      <c r="H49" s="4">
        <v>9</v>
      </c>
      <c r="I49" s="4">
        <v>6</v>
      </c>
    </row>
    <row r="50" spans="1:9" ht="15.75" thickBot="1" x14ac:dyDescent="0.3">
      <c r="A50" s="3">
        <v>631</v>
      </c>
      <c r="B50" s="3" t="str">
        <f>"20068506A"</f>
        <v>20068506A</v>
      </c>
      <c r="C50" s="5" t="s">
        <v>59</v>
      </c>
      <c r="D50" s="4" t="s">
        <v>11</v>
      </c>
      <c r="E50" s="4" t="str">
        <f>"AXTP"</f>
        <v>AXTP</v>
      </c>
      <c r="F50" s="4" t="s">
        <v>12</v>
      </c>
      <c r="G50" s="4">
        <v>4</v>
      </c>
      <c r="H50" s="4">
        <v>6</v>
      </c>
      <c r="I50" s="4">
        <v>0</v>
      </c>
    </row>
    <row r="51" spans="1:9" ht="15.75" thickBot="1" x14ac:dyDescent="0.3">
      <c r="A51" s="3">
        <v>633</v>
      </c>
      <c r="B51" s="3" t="str">
        <f>"19938509E"</f>
        <v>19938509E</v>
      </c>
      <c r="C51" s="5" t="s">
        <v>60</v>
      </c>
      <c r="D51" s="4" t="s">
        <v>11</v>
      </c>
      <c r="E51" s="4" t="str">
        <f>"AXTP"</f>
        <v>AXTP</v>
      </c>
      <c r="F51" s="4" t="s">
        <v>12</v>
      </c>
      <c r="G51" s="4">
        <v>4</v>
      </c>
      <c r="H51" s="4">
        <v>6</v>
      </c>
      <c r="I51" s="4">
        <v>0</v>
      </c>
    </row>
    <row r="52" spans="1:9" ht="15.75" thickBot="1" x14ac:dyDescent="0.3">
      <c r="A52" s="3">
        <v>635</v>
      </c>
      <c r="B52" s="3" t="str">
        <f>"19908526I"</f>
        <v>19908526I</v>
      </c>
      <c r="C52" s="5" t="s">
        <v>61</v>
      </c>
      <c r="D52" s="4" t="s">
        <v>11</v>
      </c>
      <c r="E52" s="4" t="str">
        <f>"PRTC"</f>
        <v>PRTC</v>
      </c>
      <c r="F52" s="4" t="s">
        <v>12</v>
      </c>
      <c r="G52" s="4">
        <v>13</v>
      </c>
      <c r="H52" s="4">
        <v>2</v>
      </c>
      <c r="I52" s="4">
        <v>14</v>
      </c>
    </row>
    <row r="53" spans="1:9" ht="15.75" thickBot="1" x14ac:dyDescent="0.3">
      <c r="A53" s="3">
        <v>637</v>
      </c>
      <c r="B53" s="3" t="str">
        <f>"19778510K"</f>
        <v>19778510K</v>
      </c>
      <c r="C53" s="5" t="s">
        <v>62</v>
      </c>
      <c r="D53" s="4" t="s">
        <v>11</v>
      </c>
      <c r="E53" s="4" t="str">
        <f>"PRTC"</f>
        <v>PRTC</v>
      </c>
      <c r="F53" s="4" t="s">
        <v>12</v>
      </c>
      <c r="G53" s="4">
        <v>34</v>
      </c>
      <c r="H53" s="4">
        <v>6</v>
      </c>
      <c r="I53" s="4">
        <v>0</v>
      </c>
    </row>
    <row r="54" spans="1:9" ht="15.75" thickBot="1" x14ac:dyDescent="0.3">
      <c r="A54" s="3">
        <v>639</v>
      </c>
      <c r="B54" s="3" t="str">
        <f>"20138505I"</f>
        <v>20138505I</v>
      </c>
      <c r="C54" s="5" t="s">
        <v>63</v>
      </c>
      <c r="D54" s="4" t="s">
        <v>11</v>
      </c>
      <c r="E54" s="4" t="str">
        <f>"AXTP"</f>
        <v>AXTP</v>
      </c>
      <c r="F54" s="4" t="s">
        <v>12</v>
      </c>
      <c r="G54" s="4">
        <v>4</v>
      </c>
      <c r="H54" s="4">
        <v>6</v>
      </c>
      <c r="I54" s="4">
        <v>0</v>
      </c>
    </row>
    <row r="55" spans="1:9" ht="15.75" thickBot="1" x14ac:dyDescent="0.3">
      <c r="A55" s="3">
        <v>642</v>
      </c>
      <c r="B55" s="3" t="str">
        <f>"20018502B"</f>
        <v>20018502B</v>
      </c>
      <c r="C55" s="5" t="s">
        <v>64</v>
      </c>
      <c r="D55" s="4" t="s">
        <v>11</v>
      </c>
      <c r="E55" s="4" t="str">
        <f>"AXTP"</f>
        <v>AXTP</v>
      </c>
      <c r="F55" s="4" t="s">
        <v>12</v>
      </c>
      <c r="G55" s="4">
        <v>16</v>
      </c>
      <c r="H55" s="4">
        <v>3</v>
      </c>
      <c r="I55" s="4">
        <v>0</v>
      </c>
    </row>
    <row r="56" spans="1:9" ht="15.75" thickBot="1" x14ac:dyDescent="0.3">
      <c r="A56" s="3">
        <v>643</v>
      </c>
      <c r="B56" s="3" t="str">
        <f>"19988515I"</f>
        <v>19988515I</v>
      </c>
      <c r="C56" s="5" t="s">
        <v>65</v>
      </c>
      <c r="D56" s="4" t="s">
        <v>11</v>
      </c>
      <c r="E56" s="4" t="str">
        <f>"AXTP"</f>
        <v>AXTP</v>
      </c>
      <c r="F56" s="4" t="s">
        <v>12</v>
      </c>
      <c r="G56" s="4">
        <v>23</v>
      </c>
      <c r="H56" s="4">
        <v>7</v>
      </c>
      <c r="I56" s="4">
        <v>17</v>
      </c>
    </row>
    <row r="57" spans="1:9" ht="15.75" thickBot="1" x14ac:dyDescent="0.3">
      <c r="A57" s="3">
        <v>651</v>
      </c>
      <c r="B57" s="3" t="str">
        <f>"19978503H"</f>
        <v>19978503H</v>
      </c>
      <c r="C57" s="5" t="s">
        <v>66</v>
      </c>
      <c r="D57" s="4" t="s">
        <v>11</v>
      </c>
      <c r="E57" s="4" t="str">
        <f>"AXTP"</f>
        <v>AXTP</v>
      </c>
      <c r="F57" s="4" t="s">
        <v>12</v>
      </c>
      <c r="G57" s="4">
        <v>16</v>
      </c>
      <c r="H57" s="4">
        <v>6</v>
      </c>
      <c r="I57" s="4">
        <v>0</v>
      </c>
    </row>
    <row r="58" spans="1:9" ht="15.75" thickBot="1" x14ac:dyDescent="0.3">
      <c r="A58" s="3">
        <v>669</v>
      </c>
      <c r="B58" s="3" t="str">
        <f>"20058561J"</f>
        <v>20058561J</v>
      </c>
      <c r="C58" s="5" t="s">
        <v>67</v>
      </c>
      <c r="D58" s="4" t="s">
        <v>11</v>
      </c>
      <c r="E58" s="4" t="str">
        <f>"AXTP"</f>
        <v>AXTP</v>
      </c>
      <c r="F58" s="4" t="s">
        <v>12</v>
      </c>
      <c r="G58" s="4">
        <v>16</v>
      </c>
      <c r="H58" s="4">
        <v>6</v>
      </c>
      <c r="I58" s="4">
        <v>0</v>
      </c>
    </row>
    <row r="59" spans="1:9" ht="15.75" thickBot="1" x14ac:dyDescent="0.3">
      <c r="A59" s="3">
        <v>706</v>
      </c>
      <c r="B59" s="3" t="str">
        <f>"19828580G"</f>
        <v>19828580G</v>
      </c>
      <c r="C59" s="5" t="s">
        <v>68</v>
      </c>
      <c r="D59" s="4" t="s">
        <v>11</v>
      </c>
      <c r="E59" s="4" t="str">
        <f>"PRTC"</f>
        <v>PRTC</v>
      </c>
      <c r="F59" s="4" t="s">
        <v>12</v>
      </c>
      <c r="G59" s="4">
        <v>13</v>
      </c>
      <c r="H59" s="4">
        <v>2</v>
      </c>
      <c r="I59" s="4">
        <v>14</v>
      </c>
    </row>
    <row r="60" spans="1:9" ht="15.75" thickBot="1" x14ac:dyDescent="0.3">
      <c r="A60" s="3">
        <v>709</v>
      </c>
      <c r="B60" s="3" t="str">
        <f>"19718584H"</f>
        <v>19718584H</v>
      </c>
      <c r="C60" s="5" t="s">
        <v>69</v>
      </c>
      <c r="D60" s="4" t="s">
        <v>11</v>
      </c>
      <c r="E60" s="4" t="str">
        <f>"PRTC"</f>
        <v>PRTC</v>
      </c>
      <c r="F60" s="4" t="s">
        <v>12</v>
      </c>
      <c r="G60" s="4">
        <v>27</v>
      </c>
      <c r="H60" s="4">
        <v>2</v>
      </c>
      <c r="I60" s="4">
        <v>16</v>
      </c>
    </row>
    <row r="61" spans="1:9" ht="15.75" thickBot="1" x14ac:dyDescent="0.3">
      <c r="A61" s="3">
        <v>711</v>
      </c>
      <c r="B61" s="3" t="str">
        <f>"19928580I"</f>
        <v>19928580I</v>
      </c>
      <c r="C61" s="5" t="s">
        <v>70</v>
      </c>
      <c r="D61" s="4" t="s">
        <v>11</v>
      </c>
      <c r="E61" s="4" t="str">
        <f>"ASTC"</f>
        <v>ASTC</v>
      </c>
      <c r="F61" s="4" t="s">
        <v>12</v>
      </c>
      <c r="G61" s="4">
        <v>26</v>
      </c>
      <c r="H61" s="4">
        <v>6</v>
      </c>
      <c r="I61" s="4">
        <v>0</v>
      </c>
    </row>
    <row r="62" spans="1:9" ht="15.75" thickBot="1" x14ac:dyDescent="0.3">
      <c r="A62" s="3">
        <v>720</v>
      </c>
      <c r="B62" s="3" t="str">
        <f>"19848601J"</f>
        <v>19848601J</v>
      </c>
      <c r="C62" s="5" t="s">
        <v>71</v>
      </c>
      <c r="D62" s="4" t="s">
        <v>11</v>
      </c>
      <c r="E62" s="4" t="str">
        <f>"PRTC"</f>
        <v>PRTC</v>
      </c>
      <c r="F62" s="4" t="s">
        <v>12</v>
      </c>
      <c r="G62" s="4">
        <v>23</v>
      </c>
      <c r="H62" s="4">
        <v>2</v>
      </c>
      <c r="I62" s="4">
        <v>22</v>
      </c>
    </row>
    <row r="63" spans="1:9" ht="15.75" thickBot="1" x14ac:dyDescent="0.3">
      <c r="A63" s="3">
        <v>723</v>
      </c>
      <c r="B63" s="3" t="str">
        <f>"20188607J"</f>
        <v>20188607J</v>
      </c>
      <c r="C63" s="5" t="s">
        <v>72</v>
      </c>
      <c r="D63" s="4" t="s">
        <v>11</v>
      </c>
      <c r="E63" s="4" t="str">
        <f>"AXTP"</f>
        <v>AXTP</v>
      </c>
      <c r="F63" s="4" t="s">
        <v>12</v>
      </c>
      <c r="G63" s="4">
        <v>4</v>
      </c>
      <c r="H63" s="4">
        <v>3</v>
      </c>
      <c r="I63" s="4">
        <v>1</v>
      </c>
    </row>
    <row r="64" spans="1:9" ht="15.75" thickBot="1" x14ac:dyDescent="0.3">
      <c r="A64" s="3">
        <v>728</v>
      </c>
      <c r="B64" s="3" t="str">
        <f>"19848607H"</f>
        <v>19848607H</v>
      </c>
      <c r="C64" s="5" t="s">
        <v>73</v>
      </c>
      <c r="D64" s="4" t="s">
        <v>11</v>
      </c>
      <c r="E64" s="4" t="str">
        <f>"PRTC"</f>
        <v>PRTC</v>
      </c>
      <c r="F64" s="4" t="s">
        <v>12</v>
      </c>
      <c r="G64" s="4">
        <v>23</v>
      </c>
      <c r="H64" s="4">
        <v>9</v>
      </c>
      <c r="I64" s="4">
        <v>6</v>
      </c>
    </row>
    <row r="65" spans="1:9" ht="15.75" thickBot="1" x14ac:dyDescent="0.3">
      <c r="A65" s="3">
        <v>788</v>
      </c>
      <c r="B65" s="3" t="str">
        <f>"20198584B"</f>
        <v>20198584B</v>
      </c>
      <c r="C65" s="5" t="s">
        <v>74</v>
      </c>
      <c r="D65" s="4" t="s">
        <v>11</v>
      </c>
      <c r="E65" s="4" t="str">
        <f>"AXTP"</f>
        <v>AXTP</v>
      </c>
      <c r="F65" s="4" t="s">
        <v>12</v>
      </c>
      <c r="G65" s="4">
        <v>4</v>
      </c>
      <c r="H65" s="4">
        <v>6</v>
      </c>
      <c r="I65" s="4">
        <v>0</v>
      </c>
    </row>
    <row r="66" spans="1:9" ht="15.75" thickBot="1" x14ac:dyDescent="0.3">
      <c r="A66" s="3">
        <v>806</v>
      </c>
      <c r="B66" s="3" t="str">
        <f>"20038643K"</f>
        <v>20038643K</v>
      </c>
      <c r="C66" s="5" t="s">
        <v>75</v>
      </c>
      <c r="D66" s="4" t="s">
        <v>11</v>
      </c>
      <c r="E66" s="4" t="str">
        <f>"AXTP"</f>
        <v>AXTP</v>
      </c>
      <c r="F66" s="4" t="s">
        <v>12</v>
      </c>
      <c r="G66" s="4">
        <v>14</v>
      </c>
      <c r="H66" s="4">
        <v>3</v>
      </c>
      <c r="I66" s="4">
        <v>0</v>
      </c>
    </row>
    <row r="67" spans="1:9" ht="15.75" thickBot="1" x14ac:dyDescent="0.3">
      <c r="A67" s="3">
        <v>828</v>
      </c>
      <c r="B67" s="3" t="str">
        <f>"19808672C"</f>
        <v>19808672C</v>
      </c>
      <c r="C67" s="5" t="s">
        <v>76</v>
      </c>
      <c r="D67" s="4" t="s">
        <v>11</v>
      </c>
      <c r="E67" s="4" t="str">
        <f>"PRTC"</f>
        <v>PRTC</v>
      </c>
      <c r="F67" s="4" t="s">
        <v>12</v>
      </c>
      <c r="G67" s="4">
        <v>28</v>
      </c>
      <c r="H67" s="4">
        <v>11</v>
      </c>
      <c r="I67" s="4">
        <v>0</v>
      </c>
    </row>
    <row r="68" spans="1:9" ht="15.75" thickBot="1" x14ac:dyDescent="0.3">
      <c r="A68" s="3">
        <v>835</v>
      </c>
      <c r="B68" s="3" t="str">
        <f>"19998666J"</f>
        <v>19998666J</v>
      </c>
      <c r="C68" s="5" t="s">
        <v>77</v>
      </c>
      <c r="D68" s="4" t="s">
        <v>11</v>
      </c>
      <c r="E68" s="4" t="str">
        <f>"AXTC"</f>
        <v>AXTC</v>
      </c>
      <c r="F68" s="4" t="s">
        <v>12</v>
      </c>
      <c r="G68" s="4">
        <v>15</v>
      </c>
      <c r="H68" s="4">
        <v>7</v>
      </c>
      <c r="I68" s="4">
        <v>29</v>
      </c>
    </row>
    <row r="69" spans="1:9" ht="15.75" thickBot="1" x14ac:dyDescent="0.3">
      <c r="A69" s="3">
        <v>893</v>
      </c>
      <c r="B69" s="3" t="str">
        <f>"19878665F"</f>
        <v>19878665F</v>
      </c>
      <c r="C69" s="5" t="s">
        <v>78</v>
      </c>
      <c r="D69" s="4" t="s">
        <v>11</v>
      </c>
      <c r="E69" s="4" t="str">
        <f>"PRTC"</f>
        <v>PRTC</v>
      </c>
      <c r="F69" s="4" t="s">
        <v>12</v>
      </c>
      <c r="G69" s="4">
        <v>23</v>
      </c>
      <c r="H69" s="4">
        <v>7</v>
      </c>
      <c r="I69" s="4">
        <v>1</v>
      </c>
    </row>
    <row r="70" spans="1:9" ht="15.75" thickBot="1" x14ac:dyDescent="0.3">
      <c r="A70" s="3">
        <v>935</v>
      </c>
      <c r="B70" s="3" t="str">
        <f>"19988713E"</f>
        <v>19988713E</v>
      </c>
      <c r="C70" s="5" t="s">
        <v>79</v>
      </c>
      <c r="D70" s="4" t="s">
        <v>11</v>
      </c>
      <c r="E70" s="4" t="str">
        <f>"AXTC"</f>
        <v>AXTC</v>
      </c>
      <c r="F70" s="4" t="s">
        <v>12</v>
      </c>
      <c r="G70" s="4">
        <v>13</v>
      </c>
      <c r="H70" s="4">
        <v>1</v>
      </c>
      <c r="I70" s="4">
        <v>0</v>
      </c>
    </row>
    <row r="71" spans="1:9" ht="15.75" thickBot="1" x14ac:dyDescent="0.3">
      <c r="A71" s="3">
        <v>941</v>
      </c>
      <c r="B71" s="3" t="str">
        <f>"19928712B"</f>
        <v>19928712B</v>
      </c>
      <c r="C71" s="5" t="s">
        <v>80</v>
      </c>
      <c r="D71" s="4" t="s">
        <v>11</v>
      </c>
      <c r="E71" s="4" t="str">
        <f>"AXTP"</f>
        <v>AXTP</v>
      </c>
      <c r="F71" s="4" t="s">
        <v>12</v>
      </c>
      <c r="G71" s="4">
        <v>24</v>
      </c>
      <c r="H71" s="4">
        <v>1</v>
      </c>
      <c r="I71" s="4">
        <v>14</v>
      </c>
    </row>
    <row r="72" spans="1:9" ht="15.75" thickBot="1" x14ac:dyDescent="0.3">
      <c r="A72" s="3">
        <v>953</v>
      </c>
      <c r="B72" s="3" t="str">
        <f>"19968713J"</f>
        <v>19968713J</v>
      </c>
      <c r="C72" s="5" t="s">
        <v>81</v>
      </c>
      <c r="D72" s="4" t="s">
        <v>11</v>
      </c>
      <c r="E72" s="4" t="str">
        <f>"PRTC"</f>
        <v>PRTC</v>
      </c>
      <c r="F72" s="4" t="s">
        <v>12</v>
      </c>
      <c r="G72" s="4">
        <v>13</v>
      </c>
      <c r="H72" s="4">
        <v>2</v>
      </c>
      <c r="I72" s="4">
        <v>11</v>
      </c>
    </row>
    <row r="73" spans="1:9" ht="15.75" thickBot="1" x14ac:dyDescent="0.3">
      <c r="A73" s="3">
        <v>967</v>
      </c>
      <c r="B73" s="3" t="str">
        <f>"19848721E"</f>
        <v>19848721E</v>
      </c>
      <c r="C73" s="5" t="s">
        <v>82</v>
      </c>
      <c r="D73" s="4" t="s">
        <v>11</v>
      </c>
      <c r="E73" s="4" t="str">
        <f>"PRTC"</f>
        <v>PRTC</v>
      </c>
      <c r="F73" s="4" t="s">
        <v>12</v>
      </c>
      <c r="G73" s="4">
        <v>29</v>
      </c>
      <c r="H73" s="4">
        <v>8</v>
      </c>
      <c r="I73" s="4">
        <v>23</v>
      </c>
    </row>
    <row r="74" spans="1:9" ht="15.75" thickBot="1" x14ac:dyDescent="0.3">
      <c r="A74" s="3">
        <v>979</v>
      </c>
      <c r="B74" s="3" t="str">
        <f>"20178763I"</f>
        <v>20178763I</v>
      </c>
      <c r="C74" s="5" t="s">
        <v>83</v>
      </c>
      <c r="D74" s="4" t="s">
        <v>11</v>
      </c>
      <c r="E74" s="4" t="str">
        <f>"AXTC"</f>
        <v>AXTC</v>
      </c>
      <c r="F74" s="4" t="s">
        <v>12</v>
      </c>
      <c r="G74" s="4">
        <v>4</v>
      </c>
      <c r="H74" s="4">
        <v>5</v>
      </c>
      <c r="I74" s="4">
        <v>18</v>
      </c>
    </row>
    <row r="75" spans="1:9" ht="15.75" thickBot="1" x14ac:dyDescent="0.3">
      <c r="A75" s="3">
        <v>989</v>
      </c>
      <c r="B75" s="3" t="str">
        <f>"19848763J"</f>
        <v>19848763J</v>
      </c>
      <c r="C75" s="5" t="s">
        <v>84</v>
      </c>
      <c r="D75" s="4" t="s">
        <v>11</v>
      </c>
      <c r="E75" s="4" t="str">
        <f>"ASTC"</f>
        <v>ASTC</v>
      </c>
      <c r="F75" s="4" t="s">
        <v>12</v>
      </c>
      <c r="G75" s="4">
        <v>27</v>
      </c>
      <c r="H75" s="4">
        <v>3</v>
      </c>
      <c r="I75" s="4">
        <v>14</v>
      </c>
    </row>
    <row r="76" spans="1:9" ht="15.75" thickBot="1" x14ac:dyDescent="0.3">
      <c r="A76" s="3">
        <v>1033</v>
      </c>
      <c r="B76" s="3" t="str">
        <f>"20188825G"</f>
        <v>20188825G</v>
      </c>
      <c r="C76" s="5" t="s">
        <v>85</v>
      </c>
      <c r="D76" s="4" t="s">
        <v>11</v>
      </c>
      <c r="E76" s="4" t="str">
        <f>"AXTC"</f>
        <v>AXTC</v>
      </c>
      <c r="F76" s="4" t="s">
        <v>12</v>
      </c>
      <c r="G76" s="4">
        <v>4</v>
      </c>
      <c r="H76" s="4">
        <v>6</v>
      </c>
      <c r="I76" s="4">
        <v>0</v>
      </c>
    </row>
    <row r="77" spans="1:9" ht="15.75" thickBot="1" x14ac:dyDescent="0.3">
      <c r="A77" s="3">
        <v>1047</v>
      </c>
      <c r="B77" s="3" t="str">
        <f>"19898824B"</f>
        <v>19898824B</v>
      </c>
      <c r="C77" s="5" t="s">
        <v>86</v>
      </c>
      <c r="D77" s="4" t="s">
        <v>11</v>
      </c>
      <c r="E77" s="4" t="str">
        <f>"ASTC"</f>
        <v>ASTC</v>
      </c>
      <c r="F77" s="4" t="s">
        <v>12</v>
      </c>
      <c r="G77" s="4">
        <v>22</v>
      </c>
      <c r="H77" s="4">
        <v>11</v>
      </c>
      <c r="I77" s="4">
        <v>3</v>
      </c>
    </row>
    <row r="78" spans="1:9" ht="15.75" thickBot="1" x14ac:dyDescent="0.3">
      <c r="A78" s="3">
        <v>1050</v>
      </c>
      <c r="B78" s="3" t="str">
        <f>"19758834E"</f>
        <v>19758834E</v>
      </c>
      <c r="C78" s="5" t="s">
        <v>87</v>
      </c>
      <c r="D78" s="4" t="s">
        <v>11</v>
      </c>
      <c r="E78" s="4" t="str">
        <f>"PRTC"</f>
        <v>PRTC</v>
      </c>
      <c r="F78" s="4" t="s">
        <v>12</v>
      </c>
      <c r="G78" s="4">
        <v>13</v>
      </c>
      <c r="H78" s="4">
        <v>2</v>
      </c>
      <c r="I78" s="4">
        <v>6</v>
      </c>
    </row>
    <row r="79" spans="1:9" ht="15.75" thickBot="1" x14ac:dyDescent="0.3">
      <c r="A79" s="3">
        <v>1066</v>
      </c>
      <c r="B79" s="3" t="str">
        <f>"20038823I"</f>
        <v>20038823I</v>
      </c>
      <c r="C79" s="5" t="s">
        <v>88</v>
      </c>
      <c r="D79" s="4" t="s">
        <v>11</v>
      </c>
      <c r="E79" s="4" t="str">
        <f>"AXTP"</f>
        <v>AXTP</v>
      </c>
      <c r="F79" s="4" t="s">
        <v>12</v>
      </c>
      <c r="G79" s="4">
        <v>4</v>
      </c>
      <c r="H79" s="4">
        <v>6</v>
      </c>
      <c r="I79" s="4">
        <v>0</v>
      </c>
    </row>
    <row r="80" spans="1:9" ht="15.75" thickBot="1" x14ac:dyDescent="0.3">
      <c r="A80" s="3">
        <v>1070</v>
      </c>
      <c r="B80" s="3" t="str">
        <f>"19858828G"</f>
        <v>19858828G</v>
      </c>
      <c r="C80" s="5" t="s">
        <v>89</v>
      </c>
      <c r="D80" s="4" t="s">
        <v>11</v>
      </c>
      <c r="E80" s="4" t="str">
        <f>"ASTC"</f>
        <v>ASTC</v>
      </c>
      <c r="F80" s="4" t="s">
        <v>12</v>
      </c>
      <c r="G80" s="4">
        <v>23</v>
      </c>
      <c r="H80" s="4">
        <v>9</v>
      </c>
      <c r="I80" s="4">
        <v>6</v>
      </c>
    </row>
    <row r="81" spans="1:9" ht="15.75" thickBot="1" x14ac:dyDescent="0.3">
      <c r="A81" s="3">
        <v>1072</v>
      </c>
      <c r="B81" s="3" t="str">
        <f>"19988822I"</f>
        <v>19988822I</v>
      </c>
      <c r="C81" s="5" t="s">
        <v>90</v>
      </c>
      <c r="D81" s="4" t="s">
        <v>11</v>
      </c>
      <c r="E81" s="4" t="str">
        <f>"ASTC"</f>
        <v>ASTC</v>
      </c>
      <c r="F81" s="4" t="s">
        <v>12</v>
      </c>
      <c r="G81" s="4">
        <v>8</v>
      </c>
      <c r="H81" s="4">
        <v>4</v>
      </c>
      <c r="I81" s="4">
        <v>10</v>
      </c>
    </row>
    <row r="82" spans="1:9" ht="15.75" thickBot="1" x14ac:dyDescent="0.3">
      <c r="A82" s="3">
        <v>1079</v>
      </c>
      <c r="B82" s="3" t="str">
        <f>"19888839G"</f>
        <v>19888839G</v>
      </c>
      <c r="C82" s="5" t="s">
        <v>91</v>
      </c>
      <c r="D82" s="4" t="s">
        <v>11</v>
      </c>
      <c r="E82" s="4" t="str">
        <f>"AXTP"</f>
        <v>AXTP</v>
      </c>
      <c r="F82" s="4" t="s">
        <v>12</v>
      </c>
      <c r="G82" s="4">
        <v>26</v>
      </c>
      <c r="H82" s="4">
        <v>4</v>
      </c>
      <c r="I82" s="4">
        <v>15</v>
      </c>
    </row>
    <row r="83" spans="1:9" ht="15.75" thickBot="1" x14ac:dyDescent="0.3">
      <c r="A83" s="3">
        <v>1090</v>
      </c>
      <c r="B83" s="3" t="str">
        <f>"19948825G"</f>
        <v>19948825G</v>
      </c>
      <c r="C83" s="5" t="s">
        <v>92</v>
      </c>
      <c r="D83" s="4" t="s">
        <v>11</v>
      </c>
      <c r="E83" s="4" t="str">
        <f>"PRTP"</f>
        <v>PRTP</v>
      </c>
      <c r="F83" s="4" t="s">
        <v>12</v>
      </c>
      <c r="G83" s="4">
        <v>8</v>
      </c>
      <c r="H83" s="4">
        <v>4</v>
      </c>
      <c r="I83" s="4">
        <v>10</v>
      </c>
    </row>
    <row r="84" spans="1:9" ht="15.75" thickBot="1" x14ac:dyDescent="0.3">
      <c r="A84" s="3">
        <v>1101</v>
      </c>
      <c r="B84" s="3" t="str">
        <f>"19948921F"</f>
        <v>19948921F</v>
      </c>
      <c r="C84" s="5" t="s">
        <v>93</v>
      </c>
      <c r="D84" s="4" t="s">
        <v>11</v>
      </c>
      <c r="E84" s="4" t="str">
        <f>"ASTC"</f>
        <v>ASTC</v>
      </c>
      <c r="F84" s="4" t="s">
        <v>12</v>
      </c>
      <c r="G84" s="4">
        <v>26</v>
      </c>
      <c r="H84" s="4">
        <v>5</v>
      </c>
      <c r="I84" s="4">
        <v>15</v>
      </c>
    </row>
    <row r="85" spans="1:9" ht="15.75" thickBot="1" x14ac:dyDescent="0.3">
      <c r="A85" s="3">
        <v>1104</v>
      </c>
      <c r="B85" s="3" t="str">
        <f>"20198901H"</f>
        <v>20198901H</v>
      </c>
      <c r="C85" s="5" t="s">
        <v>94</v>
      </c>
      <c r="D85" s="4" t="s">
        <v>11</v>
      </c>
      <c r="E85" s="4" t="str">
        <f>"AXTP"</f>
        <v>AXTP</v>
      </c>
      <c r="F85" s="4" t="s">
        <v>12</v>
      </c>
      <c r="G85" s="4">
        <v>4</v>
      </c>
      <c r="H85" s="4">
        <v>6</v>
      </c>
      <c r="I85" s="4">
        <v>0</v>
      </c>
    </row>
    <row r="86" spans="1:9" ht="15.75" thickBot="1" x14ac:dyDescent="0.3">
      <c r="A86" s="3">
        <v>1111</v>
      </c>
      <c r="B86" s="3" t="str">
        <f>"20168961B"</f>
        <v>20168961B</v>
      </c>
      <c r="C86" s="5" t="s">
        <v>95</v>
      </c>
      <c r="D86" s="4" t="s">
        <v>11</v>
      </c>
      <c r="E86" s="4" t="str">
        <f>"AXTP"</f>
        <v>AXTP</v>
      </c>
      <c r="F86" s="4" t="s">
        <v>12</v>
      </c>
      <c r="G86" s="4">
        <v>4</v>
      </c>
      <c r="H86" s="4">
        <v>6</v>
      </c>
      <c r="I86" s="4">
        <v>0</v>
      </c>
    </row>
    <row r="87" spans="1:9" ht="15.75" thickBot="1" x14ac:dyDescent="0.3">
      <c r="A87" s="3">
        <v>1</v>
      </c>
      <c r="B87" s="3" t="str">
        <f>"20108007K"</f>
        <v>20108007K</v>
      </c>
      <c r="C87" s="5" t="s">
        <v>96</v>
      </c>
      <c r="D87" s="4" t="s">
        <v>11</v>
      </c>
      <c r="E87" s="4" t="str">
        <f>"AXTC"</f>
        <v>AXTC</v>
      </c>
      <c r="F87" s="4" t="s">
        <v>97</v>
      </c>
      <c r="G87" s="4">
        <v>4</v>
      </c>
      <c r="H87" s="4">
        <v>6</v>
      </c>
      <c r="I87" s="4">
        <v>0</v>
      </c>
    </row>
    <row r="88" spans="1:9" ht="15.75" thickBot="1" x14ac:dyDescent="0.3">
      <c r="A88" s="3">
        <v>20</v>
      </c>
      <c r="B88" s="3" t="str">
        <f>"20028002B"</f>
        <v>20028002B</v>
      </c>
      <c r="C88" s="5" t="s">
        <v>98</v>
      </c>
      <c r="D88" s="4" t="s">
        <v>11</v>
      </c>
      <c r="E88" s="4" t="str">
        <f>"PRTC"</f>
        <v>PRTC</v>
      </c>
      <c r="F88" s="4" t="s">
        <v>97</v>
      </c>
      <c r="G88" s="4">
        <v>7</v>
      </c>
      <c r="H88" s="4">
        <v>3</v>
      </c>
      <c r="I88" s="4">
        <v>11</v>
      </c>
    </row>
    <row r="89" spans="1:9" ht="15.75" thickBot="1" x14ac:dyDescent="0.3">
      <c r="A89" s="3">
        <v>44</v>
      </c>
      <c r="B89" s="3" t="str">
        <f>"20088001B"</f>
        <v>20088001B</v>
      </c>
      <c r="C89" s="5" t="s">
        <v>99</v>
      </c>
      <c r="D89" s="4" t="s">
        <v>11</v>
      </c>
      <c r="E89" s="4" t="str">
        <f>"AXTC"</f>
        <v>AXTC</v>
      </c>
      <c r="F89" s="4" t="s">
        <v>97</v>
      </c>
      <c r="G89" s="4">
        <v>4</v>
      </c>
      <c r="H89" s="4">
        <v>6</v>
      </c>
      <c r="I89" s="4">
        <v>0</v>
      </c>
    </row>
    <row r="90" spans="1:9" ht="15.75" thickBot="1" x14ac:dyDescent="0.3">
      <c r="A90" s="3">
        <v>98</v>
      </c>
      <c r="B90" s="3" t="str">
        <f>"19718070D"</f>
        <v>19718070D</v>
      </c>
      <c r="C90" s="5" t="s">
        <v>100</v>
      </c>
      <c r="D90" s="4" t="s">
        <v>11</v>
      </c>
      <c r="E90" s="4" t="str">
        <f>"AXTC"</f>
        <v>AXTC</v>
      </c>
      <c r="F90" s="4" t="s">
        <v>97</v>
      </c>
      <c r="G90" s="4">
        <v>4</v>
      </c>
      <c r="H90" s="4">
        <v>6</v>
      </c>
      <c r="I90" s="4">
        <v>0</v>
      </c>
    </row>
    <row r="91" spans="1:9" ht="15.75" thickBot="1" x14ac:dyDescent="0.3">
      <c r="A91" s="3">
        <v>107</v>
      </c>
      <c r="B91" s="3" t="str">
        <f>"20188065B"</f>
        <v>20188065B</v>
      </c>
      <c r="C91" s="5" t="s">
        <v>101</v>
      </c>
      <c r="D91" s="4" t="s">
        <v>11</v>
      </c>
      <c r="E91" s="4" t="str">
        <f>"AXTC"</f>
        <v>AXTC</v>
      </c>
      <c r="F91" s="4" t="s">
        <v>97</v>
      </c>
      <c r="G91" s="4">
        <v>4</v>
      </c>
      <c r="H91" s="4">
        <v>6</v>
      </c>
      <c r="I91" s="4">
        <v>0</v>
      </c>
    </row>
    <row r="92" spans="1:9" ht="15.75" thickBot="1" x14ac:dyDescent="0.3">
      <c r="A92" s="3">
        <v>130</v>
      </c>
      <c r="B92" s="3" t="str">
        <f>"19908061F"</f>
        <v>19908061F</v>
      </c>
      <c r="C92" s="5" t="s">
        <v>102</v>
      </c>
      <c r="D92" s="4" t="s">
        <v>11</v>
      </c>
      <c r="E92" s="4" t="str">
        <f>"ASTC"</f>
        <v>ASTC</v>
      </c>
      <c r="F92" s="4" t="s">
        <v>97</v>
      </c>
      <c r="G92" s="4">
        <v>23</v>
      </c>
      <c r="H92" s="4">
        <v>10</v>
      </c>
      <c r="I92" s="4">
        <v>3</v>
      </c>
    </row>
    <row r="93" spans="1:9" ht="15.75" thickBot="1" x14ac:dyDescent="0.3">
      <c r="A93" s="3">
        <v>159</v>
      </c>
      <c r="B93" s="3" t="str">
        <f>"19778143H"</f>
        <v>19778143H</v>
      </c>
      <c r="C93" s="5" t="s">
        <v>103</v>
      </c>
      <c r="D93" s="4" t="s">
        <v>11</v>
      </c>
      <c r="E93" s="4" t="str">
        <f>"PRTC"</f>
        <v>PRTC</v>
      </c>
      <c r="F93" s="4" t="s">
        <v>97</v>
      </c>
      <c r="G93" s="4">
        <v>23</v>
      </c>
      <c r="H93" s="4">
        <v>5</v>
      </c>
      <c r="I93" s="4">
        <v>19</v>
      </c>
    </row>
    <row r="94" spans="1:9" ht="15.75" thickBot="1" x14ac:dyDescent="0.3">
      <c r="A94" s="3">
        <v>176</v>
      </c>
      <c r="B94" s="3" t="str">
        <f>"20168113A"</f>
        <v>20168113A</v>
      </c>
      <c r="C94" s="5" t="s">
        <v>104</v>
      </c>
      <c r="D94" s="4" t="s">
        <v>11</v>
      </c>
      <c r="E94" s="4" t="str">
        <f>"AXTC"</f>
        <v>AXTC</v>
      </c>
      <c r="F94" s="4" t="s">
        <v>97</v>
      </c>
      <c r="G94" s="4">
        <v>4</v>
      </c>
      <c r="H94" s="4">
        <v>6</v>
      </c>
      <c r="I94" s="4">
        <v>0</v>
      </c>
    </row>
    <row r="95" spans="1:9" ht="15.75" thickBot="1" x14ac:dyDescent="0.3">
      <c r="A95" s="3">
        <v>194</v>
      </c>
      <c r="B95" s="3" t="str">
        <f>"20168118C"</f>
        <v>20168118C</v>
      </c>
      <c r="C95" s="5" t="s">
        <v>105</v>
      </c>
      <c r="D95" s="4" t="s">
        <v>11</v>
      </c>
      <c r="E95" s="4" t="str">
        <f>"AXTP"</f>
        <v>AXTP</v>
      </c>
      <c r="F95" s="4" t="s">
        <v>97</v>
      </c>
      <c r="G95" s="4">
        <v>4</v>
      </c>
      <c r="H95" s="4">
        <v>6</v>
      </c>
      <c r="I95" s="4">
        <v>0</v>
      </c>
    </row>
    <row r="96" spans="1:9" ht="15.75" thickBot="1" x14ac:dyDescent="0.3">
      <c r="A96" s="3">
        <v>195</v>
      </c>
      <c r="B96" s="3" t="str">
        <f>"19998137G"</f>
        <v>19998137G</v>
      </c>
      <c r="C96" s="5" t="s">
        <v>106</v>
      </c>
      <c r="D96" s="4" t="s">
        <v>11</v>
      </c>
      <c r="E96" s="4" t="str">
        <f>"AXTC"</f>
        <v>AXTC</v>
      </c>
      <c r="F96" s="4" t="s">
        <v>97</v>
      </c>
      <c r="G96" s="4">
        <v>16</v>
      </c>
      <c r="H96" s="4">
        <v>6</v>
      </c>
      <c r="I96" s="4">
        <v>0</v>
      </c>
    </row>
    <row r="97" spans="1:9" ht="15.75" thickBot="1" x14ac:dyDescent="0.3">
      <c r="A97" s="3">
        <v>203</v>
      </c>
      <c r="B97" s="3" t="str">
        <f>"20218113J"</f>
        <v>20218113J</v>
      </c>
      <c r="C97" s="5" t="s">
        <v>107</v>
      </c>
      <c r="D97" s="4" t="s">
        <v>11</v>
      </c>
      <c r="E97" s="4" t="str">
        <f>"AXTP"</f>
        <v>AXTP</v>
      </c>
      <c r="F97" s="4" t="s">
        <v>97</v>
      </c>
      <c r="G97" s="4">
        <v>4</v>
      </c>
      <c r="H97" s="4">
        <v>6</v>
      </c>
      <c r="I97" s="4">
        <v>0</v>
      </c>
    </row>
    <row r="98" spans="1:9" ht="15.75" thickBot="1" x14ac:dyDescent="0.3">
      <c r="A98" s="3">
        <v>257</v>
      </c>
      <c r="B98" s="3" t="str">
        <f>"20028124K"</f>
        <v>20028124K</v>
      </c>
      <c r="C98" s="5" t="s">
        <v>108</v>
      </c>
      <c r="D98" s="4" t="s">
        <v>11</v>
      </c>
      <c r="E98" s="4" t="str">
        <f>"PRTC"</f>
        <v>PRTC</v>
      </c>
      <c r="F98" s="4" t="s">
        <v>97</v>
      </c>
      <c r="G98" s="4">
        <v>7</v>
      </c>
      <c r="H98" s="4">
        <v>3</v>
      </c>
      <c r="I98" s="4">
        <v>11</v>
      </c>
    </row>
    <row r="99" spans="1:9" ht="15.75" thickBot="1" x14ac:dyDescent="0.3">
      <c r="A99" s="3">
        <v>258</v>
      </c>
      <c r="B99" s="3" t="str">
        <f>"19978121H"</f>
        <v>19978121H</v>
      </c>
      <c r="C99" s="5" t="s">
        <v>109</v>
      </c>
      <c r="D99" s="4" t="s">
        <v>11</v>
      </c>
      <c r="E99" s="4" t="str">
        <f>"ASTC"</f>
        <v>ASTC</v>
      </c>
      <c r="F99" s="4" t="s">
        <v>97</v>
      </c>
      <c r="G99" s="4">
        <v>13</v>
      </c>
      <c r="H99" s="4">
        <v>2</v>
      </c>
      <c r="I99" s="4">
        <v>14</v>
      </c>
    </row>
    <row r="100" spans="1:9" ht="15.75" thickBot="1" x14ac:dyDescent="0.3">
      <c r="A100" s="3">
        <v>272</v>
      </c>
      <c r="B100" s="3" t="str">
        <f>"19808149I"</f>
        <v>19808149I</v>
      </c>
      <c r="C100" s="5" t="s">
        <v>110</v>
      </c>
      <c r="D100" s="4" t="s">
        <v>11</v>
      </c>
      <c r="E100" s="4" t="str">
        <f>"AXTC"</f>
        <v>AXTC</v>
      </c>
      <c r="F100" s="4" t="s">
        <v>97</v>
      </c>
      <c r="G100" s="4">
        <v>14</v>
      </c>
      <c r="H100" s="4">
        <v>6</v>
      </c>
      <c r="I100" s="4">
        <v>0</v>
      </c>
    </row>
    <row r="101" spans="1:9" ht="15.75" thickBot="1" x14ac:dyDescent="0.3">
      <c r="A101" s="3">
        <v>276</v>
      </c>
      <c r="B101" s="3" t="str">
        <f>"20128111H"</f>
        <v>20128111H</v>
      </c>
      <c r="C101" s="5" t="s">
        <v>111</v>
      </c>
      <c r="D101" s="4" t="s">
        <v>11</v>
      </c>
      <c r="E101" s="4" t="str">
        <f>"AXTC"</f>
        <v>AXTC</v>
      </c>
      <c r="F101" s="4" t="s">
        <v>97</v>
      </c>
      <c r="G101" s="4">
        <v>4</v>
      </c>
      <c r="H101" s="4">
        <v>6</v>
      </c>
      <c r="I101" s="4">
        <v>0</v>
      </c>
    </row>
    <row r="102" spans="1:9" ht="15.75" thickBot="1" x14ac:dyDescent="0.3">
      <c r="A102" s="3">
        <v>289</v>
      </c>
      <c r="B102" s="3" t="str">
        <f>"19998212I"</f>
        <v>19998212I</v>
      </c>
      <c r="C102" s="5" t="s">
        <v>112</v>
      </c>
      <c r="D102" s="4" t="s">
        <v>11</v>
      </c>
      <c r="E102" s="4" t="str">
        <f>"ASTC"</f>
        <v>ASTC</v>
      </c>
      <c r="F102" s="4" t="s">
        <v>97</v>
      </c>
      <c r="G102" s="4">
        <v>7</v>
      </c>
      <c r="H102" s="4">
        <v>4</v>
      </c>
      <c r="I102" s="4">
        <v>11</v>
      </c>
    </row>
    <row r="103" spans="1:9" ht="15.75" thickBot="1" x14ac:dyDescent="0.3">
      <c r="A103" s="3">
        <v>291</v>
      </c>
      <c r="B103" s="3" t="str">
        <f>"19918211K"</f>
        <v>19918211K</v>
      </c>
      <c r="C103" s="5" t="s">
        <v>113</v>
      </c>
      <c r="D103" s="4" t="s">
        <v>11</v>
      </c>
      <c r="E103" s="4" t="str">
        <f>"ASTC"</f>
        <v>ASTC</v>
      </c>
      <c r="F103" s="4" t="s">
        <v>97</v>
      </c>
      <c r="G103" s="4">
        <v>26</v>
      </c>
      <c r="H103" s="4">
        <v>9</v>
      </c>
      <c r="I103" s="4">
        <v>2</v>
      </c>
    </row>
    <row r="104" spans="1:9" ht="15.75" thickBot="1" x14ac:dyDescent="0.3">
      <c r="A104" s="3">
        <v>308</v>
      </c>
      <c r="B104" s="3" t="str">
        <f>"20168211C"</f>
        <v>20168211C</v>
      </c>
      <c r="C104" s="5" t="s">
        <v>114</v>
      </c>
      <c r="D104" s="4" t="s">
        <v>11</v>
      </c>
      <c r="E104" s="4" t="str">
        <f>"AXTC"</f>
        <v>AXTC</v>
      </c>
      <c r="F104" s="4" t="s">
        <v>97</v>
      </c>
      <c r="G104" s="4">
        <v>4</v>
      </c>
      <c r="H104" s="4">
        <v>6</v>
      </c>
      <c r="I104" s="4">
        <v>0</v>
      </c>
    </row>
    <row r="105" spans="1:9" ht="15.75" thickBot="1" x14ac:dyDescent="0.3">
      <c r="A105" s="3">
        <v>316</v>
      </c>
      <c r="B105" s="3" t="str">
        <f>"20058211I"</f>
        <v>20058211I</v>
      </c>
      <c r="C105" s="5" t="s">
        <v>115</v>
      </c>
      <c r="D105" s="4" t="s">
        <v>11</v>
      </c>
      <c r="E105" s="4" t="str">
        <f>"AXTC"</f>
        <v>AXTC</v>
      </c>
      <c r="F105" s="4" t="s">
        <v>97</v>
      </c>
      <c r="G105" s="4">
        <v>4</v>
      </c>
      <c r="H105" s="4">
        <v>6</v>
      </c>
      <c r="I105" s="4">
        <v>0</v>
      </c>
    </row>
    <row r="106" spans="1:9" ht="15.75" thickBot="1" x14ac:dyDescent="0.3">
      <c r="A106" s="3">
        <v>325</v>
      </c>
      <c r="B106" s="3" t="str">
        <f>"19888251J"</f>
        <v>19888251J</v>
      </c>
      <c r="C106" s="5" t="s">
        <v>116</v>
      </c>
      <c r="D106" s="4" t="s">
        <v>11</v>
      </c>
      <c r="E106" s="4" t="str">
        <f>"ASTC"</f>
        <v>ASTC</v>
      </c>
      <c r="F106" s="4" t="s">
        <v>97</v>
      </c>
      <c r="G106" s="4">
        <v>28</v>
      </c>
      <c r="H106" s="4">
        <v>6</v>
      </c>
      <c r="I106" s="4">
        <v>28</v>
      </c>
    </row>
    <row r="107" spans="1:9" ht="15.75" thickBot="1" x14ac:dyDescent="0.3">
      <c r="A107" s="3">
        <v>332</v>
      </c>
      <c r="B107" s="3" t="str">
        <f>"19688259G"</f>
        <v>19688259G</v>
      </c>
      <c r="C107" s="5" t="s">
        <v>117</v>
      </c>
      <c r="D107" s="4" t="s">
        <v>11</v>
      </c>
      <c r="E107" s="4" t="str">
        <f>"PRTC"</f>
        <v>PRTC</v>
      </c>
      <c r="F107" s="4" t="s">
        <v>97</v>
      </c>
      <c r="G107" s="4">
        <v>35</v>
      </c>
      <c r="H107" s="4">
        <v>11</v>
      </c>
      <c r="I107" s="4">
        <v>0</v>
      </c>
    </row>
    <row r="108" spans="1:9" ht="15.75" thickBot="1" x14ac:dyDescent="0.3">
      <c r="A108" s="3">
        <v>343</v>
      </c>
      <c r="B108" s="3" t="str">
        <f>"19808256J"</f>
        <v>19808256J</v>
      </c>
      <c r="C108" s="5" t="s">
        <v>118</v>
      </c>
      <c r="D108" s="4" t="s">
        <v>11</v>
      </c>
      <c r="E108" s="4" t="str">
        <f>"PRTC"</f>
        <v>PRTC</v>
      </c>
      <c r="F108" s="4" t="s">
        <v>97</v>
      </c>
      <c r="G108" s="4">
        <v>34</v>
      </c>
      <c r="H108" s="4">
        <v>3</v>
      </c>
      <c r="I108" s="4">
        <v>0</v>
      </c>
    </row>
    <row r="109" spans="1:9" ht="15.75" thickBot="1" x14ac:dyDescent="0.3">
      <c r="A109" s="3">
        <v>352</v>
      </c>
      <c r="B109" s="3" t="str">
        <f>"19958252J"</f>
        <v>19958252J</v>
      </c>
      <c r="C109" s="5" t="s">
        <v>119</v>
      </c>
      <c r="D109" s="4" t="s">
        <v>11</v>
      </c>
      <c r="E109" s="4" t="str">
        <f>"PRTC"</f>
        <v>PRTC</v>
      </c>
      <c r="F109" s="4" t="s">
        <v>97</v>
      </c>
      <c r="G109" s="4">
        <v>8</v>
      </c>
      <c r="H109" s="4">
        <v>4</v>
      </c>
      <c r="I109" s="4">
        <v>10</v>
      </c>
    </row>
    <row r="110" spans="1:9" ht="15.75" thickBot="1" x14ac:dyDescent="0.3">
      <c r="A110" s="3">
        <v>372</v>
      </c>
      <c r="B110" s="3" t="str">
        <f>"20008271H"</f>
        <v>20008271H</v>
      </c>
      <c r="C110" s="5" t="s">
        <v>120</v>
      </c>
      <c r="D110" s="4" t="s">
        <v>11</v>
      </c>
      <c r="E110" s="4" t="str">
        <f>"AXTC"</f>
        <v>AXTC</v>
      </c>
      <c r="F110" s="4" t="s">
        <v>97</v>
      </c>
      <c r="G110" s="4">
        <v>16</v>
      </c>
      <c r="H110" s="4">
        <v>6</v>
      </c>
      <c r="I110" s="4">
        <v>0</v>
      </c>
    </row>
    <row r="111" spans="1:9" ht="15.75" thickBot="1" x14ac:dyDescent="0.3">
      <c r="A111" s="3">
        <v>394</v>
      </c>
      <c r="B111" s="3" t="str">
        <f>"20128301A"</f>
        <v>20128301A</v>
      </c>
      <c r="C111" s="5" t="s">
        <v>121</v>
      </c>
      <c r="D111" s="4" t="s">
        <v>11</v>
      </c>
      <c r="E111" s="4" t="str">
        <f>"AXTC"</f>
        <v>AXTC</v>
      </c>
      <c r="F111" s="4" t="s">
        <v>97</v>
      </c>
      <c r="G111" s="4">
        <v>4</v>
      </c>
      <c r="H111" s="4">
        <v>6</v>
      </c>
      <c r="I111" s="4">
        <v>0</v>
      </c>
    </row>
    <row r="112" spans="1:9" ht="15.75" thickBot="1" x14ac:dyDescent="0.3">
      <c r="A112" s="3">
        <v>407</v>
      </c>
      <c r="B112" s="3" t="str">
        <f>"20018302C"</f>
        <v>20018302C</v>
      </c>
      <c r="C112" s="5" t="s">
        <v>122</v>
      </c>
      <c r="D112" s="4" t="s">
        <v>11</v>
      </c>
      <c r="E112" s="4" t="str">
        <f>"AXTC"</f>
        <v>AXTC</v>
      </c>
      <c r="F112" s="4" t="s">
        <v>97</v>
      </c>
      <c r="G112" s="4">
        <v>16</v>
      </c>
      <c r="H112" s="4">
        <v>6</v>
      </c>
      <c r="I112" s="4">
        <v>0</v>
      </c>
    </row>
    <row r="113" spans="1:9" ht="15.75" thickBot="1" x14ac:dyDescent="0.3">
      <c r="A113" s="3">
        <v>422</v>
      </c>
      <c r="B113" s="3" t="str">
        <f>"19818305C"</f>
        <v>19818305C</v>
      </c>
      <c r="C113" s="5" t="s">
        <v>123</v>
      </c>
      <c r="D113" s="4" t="s">
        <v>11</v>
      </c>
      <c r="E113" s="4" t="str">
        <f>"PRTC"</f>
        <v>PRTC</v>
      </c>
      <c r="F113" s="4" t="s">
        <v>97</v>
      </c>
      <c r="G113" s="4">
        <v>13</v>
      </c>
      <c r="H113" s="4">
        <v>2</v>
      </c>
      <c r="I113" s="4">
        <v>14</v>
      </c>
    </row>
    <row r="114" spans="1:9" ht="15.75" thickBot="1" x14ac:dyDescent="0.3">
      <c r="A114" s="3">
        <v>423</v>
      </c>
      <c r="B114" s="3" t="str">
        <f>"19918304I"</f>
        <v>19918304I</v>
      </c>
      <c r="C114" s="5" t="s">
        <v>124</v>
      </c>
      <c r="D114" s="4" t="s">
        <v>11</v>
      </c>
      <c r="E114" s="4" t="str">
        <f>"PRTC"</f>
        <v>PRTC</v>
      </c>
      <c r="F114" s="4" t="s">
        <v>97</v>
      </c>
      <c r="G114" s="4">
        <v>17</v>
      </c>
      <c r="H114" s="4">
        <v>7</v>
      </c>
      <c r="I114" s="4">
        <v>12</v>
      </c>
    </row>
    <row r="115" spans="1:9" ht="15.75" thickBot="1" x14ac:dyDescent="0.3">
      <c r="A115" s="3">
        <v>457</v>
      </c>
      <c r="B115" s="3" t="str">
        <f>"19968353C"</f>
        <v>19968353C</v>
      </c>
      <c r="C115" s="5" t="s">
        <v>125</v>
      </c>
      <c r="D115" s="4" t="s">
        <v>11</v>
      </c>
      <c r="E115" s="4" t="str">
        <f>"AXTP"</f>
        <v>AXTP</v>
      </c>
      <c r="F115" s="4" t="s">
        <v>97</v>
      </c>
      <c r="G115" s="4">
        <v>4</v>
      </c>
      <c r="H115" s="4">
        <v>6</v>
      </c>
      <c r="I115" s="4">
        <v>0</v>
      </c>
    </row>
    <row r="116" spans="1:9" ht="15.75" thickBot="1" x14ac:dyDescent="0.3">
      <c r="A116" s="3">
        <v>480</v>
      </c>
      <c r="B116" s="3" t="str">
        <f>"19978401K"</f>
        <v>19978401K</v>
      </c>
      <c r="C116" s="5" t="s">
        <v>126</v>
      </c>
      <c r="D116" s="4" t="s">
        <v>11</v>
      </c>
      <c r="E116" s="4" t="str">
        <f>"ASTC"</f>
        <v>ASTC</v>
      </c>
      <c r="F116" s="4" t="s">
        <v>97</v>
      </c>
      <c r="G116" s="4">
        <v>14</v>
      </c>
      <c r="H116" s="4">
        <v>1</v>
      </c>
      <c r="I116" s="4">
        <v>0</v>
      </c>
    </row>
    <row r="117" spans="1:9" ht="15.75" thickBot="1" x14ac:dyDescent="0.3">
      <c r="A117" s="3">
        <v>481</v>
      </c>
      <c r="B117" s="3" t="str">
        <f>"19898401D"</f>
        <v>19898401D</v>
      </c>
      <c r="C117" s="5" t="s">
        <v>127</v>
      </c>
      <c r="D117" s="4" t="s">
        <v>11</v>
      </c>
      <c r="E117" s="4" t="str">
        <f>"ASTC"</f>
        <v>ASTC</v>
      </c>
      <c r="F117" s="4" t="s">
        <v>97</v>
      </c>
      <c r="G117" s="4">
        <v>25</v>
      </c>
      <c r="H117" s="4">
        <v>9</v>
      </c>
      <c r="I117" s="4">
        <v>2</v>
      </c>
    </row>
    <row r="118" spans="1:9" ht="15.75" thickBot="1" x14ac:dyDescent="0.3">
      <c r="A118" s="3">
        <v>495</v>
      </c>
      <c r="B118" s="3" t="str">
        <f>"20068443J"</f>
        <v>20068443J</v>
      </c>
      <c r="C118" s="5" t="s">
        <v>128</v>
      </c>
      <c r="D118" s="4" t="s">
        <v>11</v>
      </c>
      <c r="E118" s="4" t="str">
        <f>"AXTC"</f>
        <v>AXTC</v>
      </c>
      <c r="F118" s="4" t="s">
        <v>97</v>
      </c>
      <c r="G118" s="4">
        <v>4</v>
      </c>
      <c r="H118" s="4">
        <v>3</v>
      </c>
      <c r="I118" s="4">
        <v>2</v>
      </c>
    </row>
    <row r="119" spans="1:9" ht="15.75" thickBot="1" x14ac:dyDescent="0.3">
      <c r="A119" s="3">
        <v>496</v>
      </c>
      <c r="B119" s="3" t="str">
        <f>"19888445I"</f>
        <v>19888445I</v>
      </c>
      <c r="C119" s="5" t="s">
        <v>129</v>
      </c>
      <c r="D119" s="4" t="s">
        <v>11</v>
      </c>
      <c r="E119" s="4" t="str">
        <f>"PRDE"</f>
        <v>PRDE</v>
      </c>
      <c r="F119" s="4" t="s">
        <v>97</v>
      </c>
      <c r="G119" s="4">
        <v>23</v>
      </c>
      <c r="H119" s="4">
        <v>10</v>
      </c>
      <c r="I119" s="4">
        <v>3</v>
      </c>
    </row>
    <row r="120" spans="1:9" ht="15.75" thickBot="1" x14ac:dyDescent="0.3">
      <c r="A120" s="3">
        <v>500</v>
      </c>
      <c r="B120" s="3" t="str">
        <f>"20158441F"</f>
        <v>20158441F</v>
      </c>
      <c r="C120" s="5" t="s">
        <v>130</v>
      </c>
      <c r="D120" s="4" t="s">
        <v>11</v>
      </c>
      <c r="E120" s="4" t="str">
        <f>"AXTC"</f>
        <v>AXTC</v>
      </c>
      <c r="F120" s="4" t="s">
        <v>97</v>
      </c>
      <c r="G120" s="4">
        <v>4</v>
      </c>
      <c r="H120" s="4">
        <v>6</v>
      </c>
      <c r="I120" s="4">
        <v>0</v>
      </c>
    </row>
    <row r="121" spans="1:9" ht="15.75" thickBot="1" x14ac:dyDescent="0.3">
      <c r="A121" s="3">
        <v>509</v>
      </c>
      <c r="B121" s="3" t="str">
        <f>"20058443G"</f>
        <v>20058443G</v>
      </c>
      <c r="C121" s="5" t="s">
        <v>131</v>
      </c>
      <c r="D121" s="4" t="s">
        <v>11</v>
      </c>
      <c r="E121" s="4" t="str">
        <f>"ASTC"</f>
        <v>ASTC</v>
      </c>
      <c r="F121" s="4" t="s">
        <v>97</v>
      </c>
      <c r="G121" s="4">
        <v>6</v>
      </c>
      <c r="H121" s="4">
        <v>4</v>
      </c>
      <c r="I121" s="4">
        <v>12</v>
      </c>
    </row>
    <row r="122" spans="1:9" ht="15.75" thickBot="1" x14ac:dyDescent="0.3">
      <c r="A122" s="3">
        <v>527</v>
      </c>
      <c r="B122" s="3" t="str">
        <f>"19998446J"</f>
        <v>19998446J</v>
      </c>
      <c r="C122" s="5" t="s">
        <v>132</v>
      </c>
      <c r="D122" s="4" t="s">
        <v>11</v>
      </c>
      <c r="E122" s="4" t="str">
        <f>"ASTC"</f>
        <v>ASTC</v>
      </c>
      <c r="F122" s="4" t="s">
        <v>97</v>
      </c>
      <c r="G122" s="4">
        <v>6</v>
      </c>
      <c r="H122" s="4">
        <v>4</v>
      </c>
      <c r="I122" s="4">
        <v>12</v>
      </c>
    </row>
    <row r="123" spans="1:9" ht="15.75" thickBot="1" x14ac:dyDescent="0.3">
      <c r="A123" s="3">
        <v>531</v>
      </c>
      <c r="B123" s="3" t="str">
        <f>"19838447H"</f>
        <v>19838447H</v>
      </c>
      <c r="C123" s="5" t="s">
        <v>133</v>
      </c>
      <c r="D123" s="4" t="s">
        <v>11</v>
      </c>
      <c r="E123" s="4" t="str">
        <f>"PRTC"</f>
        <v>PRTC</v>
      </c>
      <c r="F123" s="4" t="s">
        <v>97</v>
      </c>
      <c r="G123" s="4">
        <v>14</v>
      </c>
      <c r="H123" s="4">
        <v>1</v>
      </c>
      <c r="I123" s="4">
        <v>0</v>
      </c>
    </row>
    <row r="124" spans="1:9" ht="15.75" thickBot="1" x14ac:dyDescent="0.3">
      <c r="A124" s="3">
        <v>534</v>
      </c>
      <c r="B124" s="3" t="str">
        <f>"19888452E"</f>
        <v>19888452E</v>
      </c>
      <c r="C124" s="5" t="s">
        <v>134</v>
      </c>
      <c r="D124" s="4" t="s">
        <v>11</v>
      </c>
      <c r="E124" s="4" t="str">
        <f>"PRDE"</f>
        <v>PRDE</v>
      </c>
      <c r="F124" s="4" t="s">
        <v>97</v>
      </c>
      <c r="G124" s="4">
        <v>8</v>
      </c>
      <c r="H124" s="4">
        <v>4</v>
      </c>
      <c r="I124" s="4">
        <v>10</v>
      </c>
    </row>
    <row r="125" spans="1:9" ht="15.75" thickBot="1" x14ac:dyDescent="0.3">
      <c r="A125" s="3">
        <v>545</v>
      </c>
      <c r="B125" s="3" t="str">
        <f>"19998447F"</f>
        <v>19998447F</v>
      </c>
      <c r="C125" s="5" t="s">
        <v>135</v>
      </c>
      <c r="D125" s="4" t="s">
        <v>11</v>
      </c>
      <c r="E125" s="4" t="str">
        <f>"ASTC"</f>
        <v>ASTC</v>
      </c>
      <c r="F125" s="4" t="s">
        <v>97</v>
      </c>
      <c r="G125" s="4">
        <v>6</v>
      </c>
      <c r="H125" s="4">
        <v>4</v>
      </c>
      <c r="I125" s="4">
        <v>12</v>
      </c>
    </row>
    <row r="126" spans="1:9" ht="15.75" thickBot="1" x14ac:dyDescent="0.3">
      <c r="A126" s="3">
        <v>561</v>
      </c>
      <c r="B126" s="3" t="str">
        <f>"20238450A"</f>
        <v>20238450A</v>
      </c>
      <c r="C126" s="5" t="s">
        <v>136</v>
      </c>
      <c r="D126" s="4" t="s">
        <v>11</v>
      </c>
      <c r="E126" s="4" t="str">
        <f>"AXTP"</f>
        <v>AXTP</v>
      </c>
      <c r="F126" s="4" t="s">
        <v>97</v>
      </c>
      <c r="G126" s="4">
        <v>3</v>
      </c>
      <c r="H126" s="4">
        <v>4</v>
      </c>
      <c r="I126" s="4">
        <v>21</v>
      </c>
    </row>
    <row r="127" spans="1:9" ht="15.75" thickBot="1" x14ac:dyDescent="0.3">
      <c r="A127" s="3">
        <v>565</v>
      </c>
      <c r="B127" s="3" t="str">
        <f>"19858509I"</f>
        <v>19858509I</v>
      </c>
      <c r="C127" s="5" t="s">
        <v>137</v>
      </c>
      <c r="D127" s="4" t="s">
        <v>11</v>
      </c>
      <c r="E127" s="4" t="str">
        <f>"PRTC"</f>
        <v>PRTC</v>
      </c>
      <c r="F127" s="4" t="s">
        <v>97</v>
      </c>
      <c r="G127" s="4">
        <v>17</v>
      </c>
      <c r="H127" s="4">
        <v>7</v>
      </c>
      <c r="I127" s="4">
        <v>12</v>
      </c>
    </row>
    <row r="128" spans="1:9" ht="15.75" thickBot="1" x14ac:dyDescent="0.3">
      <c r="A128" s="3">
        <v>575</v>
      </c>
      <c r="B128" s="3" t="str">
        <f>"20218449H"</f>
        <v>20218449H</v>
      </c>
      <c r="C128" s="5" t="s">
        <v>138</v>
      </c>
      <c r="D128" s="4" t="s">
        <v>11</v>
      </c>
      <c r="E128" s="4" t="str">
        <f>"AXTP"</f>
        <v>AXTP</v>
      </c>
      <c r="F128" s="4" t="s">
        <v>97</v>
      </c>
      <c r="G128" s="4">
        <v>3</v>
      </c>
      <c r="H128" s="4">
        <v>6</v>
      </c>
      <c r="I128" s="4">
        <v>0</v>
      </c>
    </row>
    <row r="129" spans="1:9" ht="15.75" thickBot="1" x14ac:dyDescent="0.3">
      <c r="A129" s="3">
        <v>580</v>
      </c>
      <c r="B129" s="3" t="str">
        <f>"20158501I"</f>
        <v>20158501I</v>
      </c>
      <c r="C129" s="5" t="s">
        <v>139</v>
      </c>
      <c r="D129" s="4" t="s">
        <v>11</v>
      </c>
      <c r="E129" s="4" t="str">
        <f>"AXTC"</f>
        <v>AXTC</v>
      </c>
      <c r="F129" s="4" t="s">
        <v>97</v>
      </c>
      <c r="G129" s="4">
        <v>4</v>
      </c>
      <c r="H129" s="4">
        <v>6</v>
      </c>
      <c r="I129" s="4">
        <v>0</v>
      </c>
    </row>
    <row r="130" spans="1:9" ht="15.75" thickBot="1" x14ac:dyDescent="0.3">
      <c r="A130" s="3">
        <v>588</v>
      </c>
      <c r="B130" s="3" t="str">
        <f>"20148502B"</f>
        <v>20148502B</v>
      </c>
      <c r="C130" s="5" t="s">
        <v>140</v>
      </c>
      <c r="D130" s="4" t="s">
        <v>11</v>
      </c>
      <c r="E130" s="4" t="str">
        <f>"AXTC"</f>
        <v>AXTC</v>
      </c>
      <c r="F130" s="4" t="s">
        <v>97</v>
      </c>
      <c r="G130" s="4">
        <v>4</v>
      </c>
      <c r="H130" s="4">
        <v>6</v>
      </c>
      <c r="I130" s="4">
        <v>0</v>
      </c>
    </row>
    <row r="131" spans="1:9" ht="15.75" thickBot="1" x14ac:dyDescent="0.3">
      <c r="A131" s="3">
        <v>589</v>
      </c>
      <c r="B131" s="3" t="str">
        <f>"20048501D"</f>
        <v>20048501D</v>
      </c>
      <c r="C131" s="5" t="s">
        <v>141</v>
      </c>
      <c r="D131" s="4" t="s">
        <v>11</v>
      </c>
      <c r="E131" s="4" t="str">
        <f>"ASTC"</f>
        <v>ASTC</v>
      </c>
      <c r="F131" s="4" t="s">
        <v>97</v>
      </c>
      <c r="G131" s="4">
        <v>13</v>
      </c>
      <c r="H131" s="4">
        <v>2</v>
      </c>
      <c r="I131" s="4">
        <v>14</v>
      </c>
    </row>
    <row r="132" spans="1:9" ht="15.75" thickBot="1" x14ac:dyDescent="0.3">
      <c r="A132" s="3">
        <v>600</v>
      </c>
      <c r="B132" s="3" t="str">
        <f>"20008501C"</f>
        <v>20008501C</v>
      </c>
      <c r="C132" s="5" t="s">
        <v>142</v>
      </c>
      <c r="D132" s="4" t="s">
        <v>11</v>
      </c>
      <c r="E132" s="4" t="str">
        <f>"AXTC"</f>
        <v>AXTC</v>
      </c>
      <c r="F132" s="4" t="s">
        <v>97</v>
      </c>
      <c r="G132" s="4">
        <v>4</v>
      </c>
      <c r="H132" s="4">
        <v>6</v>
      </c>
      <c r="I132" s="4">
        <v>0</v>
      </c>
    </row>
    <row r="133" spans="1:9" ht="15.75" thickBot="1" x14ac:dyDescent="0.3">
      <c r="A133" s="3">
        <v>624</v>
      </c>
      <c r="B133" s="3" t="str">
        <f>"20238449C"</f>
        <v>20238449C</v>
      </c>
      <c r="C133" s="5" t="s">
        <v>143</v>
      </c>
      <c r="D133" s="4" t="s">
        <v>11</v>
      </c>
      <c r="E133" s="4" t="str">
        <f>"AXTC"</f>
        <v>AXTC</v>
      </c>
      <c r="F133" s="4" t="s">
        <v>97</v>
      </c>
      <c r="G133" s="4">
        <v>3</v>
      </c>
      <c r="H133" s="4">
        <v>4</v>
      </c>
      <c r="I133" s="4">
        <v>21</v>
      </c>
    </row>
    <row r="134" spans="1:9" ht="15.75" thickBot="1" x14ac:dyDescent="0.3">
      <c r="A134" s="3">
        <v>636</v>
      </c>
      <c r="B134" s="3" t="str">
        <f>"19718506G"</f>
        <v>19718506G</v>
      </c>
      <c r="C134" s="5" t="s">
        <v>144</v>
      </c>
      <c r="D134" s="4" t="s">
        <v>11</v>
      </c>
      <c r="E134" s="4" t="str">
        <f>"PRTC"</f>
        <v>PRTC</v>
      </c>
      <c r="F134" s="4" t="s">
        <v>97</v>
      </c>
      <c r="G134" s="4">
        <v>33</v>
      </c>
      <c r="H134" s="4">
        <v>6</v>
      </c>
      <c r="I134" s="4">
        <v>2</v>
      </c>
    </row>
    <row r="135" spans="1:9" ht="15.75" thickBot="1" x14ac:dyDescent="0.3">
      <c r="A135" s="3">
        <v>646</v>
      </c>
      <c r="B135" s="3" t="str">
        <f>"20068505E"</f>
        <v>20068505E</v>
      </c>
      <c r="C135" s="5" t="s">
        <v>145</v>
      </c>
      <c r="D135" s="4" t="s">
        <v>11</v>
      </c>
      <c r="E135" s="4" t="str">
        <f>"AXTC"</f>
        <v>AXTC</v>
      </c>
      <c r="F135" s="4" t="s">
        <v>97</v>
      </c>
      <c r="G135" s="4">
        <v>16</v>
      </c>
      <c r="H135" s="4">
        <v>3</v>
      </c>
      <c r="I135" s="4">
        <v>1</v>
      </c>
    </row>
    <row r="136" spans="1:9" ht="15.75" thickBot="1" x14ac:dyDescent="0.3">
      <c r="A136" s="3">
        <v>657</v>
      </c>
      <c r="B136" s="3" t="str">
        <f>"20028501I"</f>
        <v>20028501I</v>
      </c>
      <c r="C136" s="5" t="s">
        <v>146</v>
      </c>
      <c r="D136" s="4" t="s">
        <v>11</v>
      </c>
      <c r="E136" s="4" t="str">
        <f>"ASTC"</f>
        <v>ASTC</v>
      </c>
      <c r="F136" s="4" t="s">
        <v>97</v>
      </c>
      <c r="G136" s="4">
        <v>13</v>
      </c>
      <c r="H136" s="4">
        <v>2</v>
      </c>
      <c r="I136" s="4">
        <v>14</v>
      </c>
    </row>
    <row r="137" spans="1:9" ht="15.75" thickBot="1" x14ac:dyDescent="0.3">
      <c r="A137" s="3">
        <v>659</v>
      </c>
      <c r="B137" s="3" t="str">
        <f>"20128504J"</f>
        <v>20128504J</v>
      </c>
      <c r="C137" s="5" t="s">
        <v>147</v>
      </c>
      <c r="D137" s="4" t="s">
        <v>11</v>
      </c>
      <c r="E137" s="4" t="str">
        <f>"AXTC"</f>
        <v>AXTC</v>
      </c>
      <c r="F137" s="4" t="s">
        <v>97</v>
      </c>
      <c r="G137" s="4">
        <v>4</v>
      </c>
      <c r="H137" s="4">
        <v>6</v>
      </c>
      <c r="I137" s="4">
        <v>0</v>
      </c>
    </row>
    <row r="138" spans="1:9" ht="15.75" thickBot="1" x14ac:dyDescent="0.3">
      <c r="A138" s="3">
        <v>668</v>
      </c>
      <c r="B138" s="3" t="str">
        <f>"20218513H"</f>
        <v>20218513H</v>
      </c>
      <c r="C138" s="5" t="s">
        <v>148</v>
      </c>
      <c r="D138" s="4" t="s">
        <v>11</v>
      </c>
      <c r="E138" s="4" t="str">
        <f>"AXTC"</f>
        <v>AXTC</v>
      </c>
      <c r="F138" s="4" t="s">
        <v>97</v>
      </c>
      <c r="G138" s="4">
        <v>4</v>
      </c>
      <c r="H138" s="4">
        <v>6</v>
      </c>
      <c r="I138" s="4">
        <v>0</v>
      </c>
    </row>
    <row r="139" spans="1:9" ht="15.75" thickBot="1" x14ac:dyDescent="0.3">
      <c r="A139" s="3">
        <v>670</v>
      </c>
      <c r="B139" s="3" t="str">
        <f>"19938562C"</f>
        <v>19938562C</v>
      </c>
      <c r="C139" s="5" t="s">
        <v>149</v>
      </c>
      <c r="D139" s="4" t="s">
        <v>11</v>
      </c>
      <c r="E139" s="4" t="str">
        <f>"ASTP"</f>
        <v>ASTP</v>
      </c>
      <c r="F139" s="4" t="s">
        <v>97</v>
      </c>
      <c r="G139" s="4">
        <v>6</v>
      </c>
      <c r="H139" s="4">
        <v>4</v>
      </c>
      <c r="I139" s="4">
        <v>12</v>
      </c>
    </row>
    <row r="140" spans="1:9" ht="15.75" thickBot="1" x14ac:dyDescent="0.3">
      <c r="A140" s="3">
        <v>680</v>
      </c>
      <c r="B140" s="3" t="str">
        <f>"20178562C"</f>
        <v>20178562C</v>
      </c>
      <c r="C140" s="5" t="s">
        <v>150</v>
      </c>
      <c r="D140" s="4" t="s">
        <v>11</v>
      </c>
      <c r="E140" s="4" t="str">
        <f>"AXTC"</f>
        <v>AXTC</v>
      </c>
      <c r="F140" s="4" t="s">
        <v>97</v>
      </c>
      <c r="G140" s="4">
        <v>4</v>
      </c>
      <c r="H140" s="4">
        <v>6</v>
      </c>
      <c r="I140" s="4">
        <v>0</v>
      </c>
    </row>
    <row r="141" spans="1:9" ht="15.75" thickBot="1" x14ac:dyDescent="0.3">
      <c r="A141" s="3">
        <v>682</v>
      </c>
      <c r="B141" s="3" t="str">
        <f>"20138561F"</f>
        <v>20138561F</v>
      </c>
      <c r="C141" s="5" t="s">
        <v>151</v>
      </c>
      <c r="D141" s="4" t="s">
        <v>11</v>
      </c>
      <c r="E141" s="4" t="str">
        <f>"AXTC"</f>
        <v>AXTC</v>
      </c>
      <c r="F141" s="4" t="s">
        <v>97</v>
      </c>
      <c r="G141" s="4">
        <v>4</v>
      </c>
      <c r="H141" s="4">
        <v>6</v>
      </c>
      <c r="I141" s="4">
        <v>0</v>
      </c>
    </row>
    <row r="142" spans="1:9" ht="15.75" thickBot="1" x14ac:dyDescent="0.3">
      <c r="A142" s="3">
        <v>688</v>
      </c>
      <c r="B142" s="3" t="str">
        <f>"20038582A"</f>
        <v>20038582A</v>
      </c>
      <c r="C142" s="5" t="s">
        <v>152</v>
      </c>
      <c r="D142" s="4" t="s">
        <v>11</v>
      </c>
      <c r="E142" s="4" t="str">
        <f>"PRTC"</f>
        <v>PRTC</v>
      </c>
      <c r="F142" s="4" t="s">
        <v>97</v>
      </c>
      <c r="G142" s="4">
        <v>7</v>
      </c>
      <c r="H142" s="4">
        <v>3</v>
      </c>
      <c r="I142" s="4">
        <v>11</v>
      </c>
    </row>
    <row r="143" spans="1:9" ht="15.75" thickBot="1" x14ac:dyDescent="0.3">
      <c r="A143" s="3">
        <v>698</v>
      </c>
      <c r="B143" s="3" t="str">
        <f>"20208571E"</f>
        <v>20208571E</v>
      </c>
      <c r="C143" s="5" t="s">
        <v>153</v>
      </c>
      <c r="D143" s="4" t="s">
        <v>11</v>
      </c>
      <c r="E143" s="4" t="str">
        <f t="shared" ref="E143:E150" si="0">"AXTC"</f>
        <v>AXTC</v>
      </c>
      <c r="F143" s="4" t="s">
        <v>97</v>
      </c>
      <c r="G143" s="4">
        <v>4</v>
      </c>
      <c r="H143" s="4">
        <v>6</v>
      </c>
      <c r="I143" s="4">
        <v>0</v>
      </c>
    </row>
    <row r="144" spans="1:9" ht="15.75" thickBot="1" x14ac:dyDescent="0.3">
      <c r="A144" s="3">
        <v>703</v>
      </c>
      <c r="B144" s="3" t="str">
        <f>"20218529A"</f>
        <v>20218529A</v>
      </c>
      <c r="C144" s="5" t="s">
        <v>154</v>
      </c>
      <c r="D144" s="4" t="s">
        <v>11</v>
      </c>
      <c r="E144" s="4" t="str">
        <f t="shared" si="0"/>
        <v>AXTC</v>
      </c>
      <c r="F144" s="4" t="s">
        <v>97</v>
      </c>
      <c r="G144" s="4">
        <v>4</v>
      </c>
      <c r="H144" s="4">
        <v>6</v>
      </c>
      <c r="I144" s="4">
        <v>0</v>
      </c>
    </row>
    <row r="145" spans="1:9" ht="15.75" thickBot="1" x14ac:dyDescent="0.3">
      <c r="A145" s="3">
        <v>713</v>
      </c>
      <c r="B145" s="3" t="str">
        <f>"20108581I"</f>
        <v>20108581I</v>
      </c>
      <c r="C145" s="5" t="s">
        <v>155</v>
      </c>
      <c r="D145" s="4" t="s">
        <v>11</v>
      </c>
      <c r="E145" s="4" t="str">
        <f t="shared" si="0"/>
        <v>AXTC</v>
      </c>
      <c r="F145" s="4" t="s">
        <v>97</v>
      </c>
      <c r="G145" s="4">
        <v>4</v>
      </c>
      <c r="H145" s="4">
        <v>6</v>
      </c>
      <c r="I145" s="4">
        <v>0</v>
      </c>
    </row>
    <row r="146" spans="1:9" ht="15.75" thickBot="1" x14ac:dyDescent="0.3">
      <c r="A146" s="3">
        <v>716</v>
      </c>
      <c r="B146" s="3" t="str">
        <f>"20168581E"</f>
        <v>20168581E</v>
      </c>
      <c r="C146" s="5" t="s">
        <v>156</v>
      </c>
      <c r="D146" s="4" t="s">
        <v>11</v>
      </c>
      <c r="E146" s="4" t="str">
        <f t="shared" si="0"/>
        <v>AXTC</v>
      </c>
      <c r="F146" s="4" t="s">
        <v>97</v>
      </c>
      <c r="G146" s="4">
        <v>4</v>
      </c>
      <c r="H146" s="4">
        <v>6</v>
      </c>
      <c r="I146" s="4">
        <v>0</v>
      </c>
    </row>
    <row r="147" spans="1:9" ht="15.75" thickBot="1" x14ac:dyDescent="0.3">
      <c r="A147" s="3">
        <v>726</v>
      </c>
      <c r="B147" s="3" t="str">
        <f>"20168604E"</f>
        <v>20168604E</v>
      </c>
      <c r="C147" s="5" t="s">
        <v>157</v>
      </c>
      <c r="D147" s="4" t="s">
        <v>11</v>
      </c>
      <c r="E147" s="4" t="str">
        <f t="shared" si="0"/>
        <v>AXTC</v>
      </c>
      <c r="F147" s="4" t="s">
        <v>97</v>
      </c>
      <c r="G147" s="4">
        <v>4</v>
      </c>
      <c r="H147" s="4">
        <v>6</v>
      </c>
      <c r="I147" s="4">
        <v>0</v>
      </c>
    </row>
    <row r="148" spans="1:9" ht="15.75" thickBot="1" x14ac:dyDescent="0.3">
      <c r="A148" s="3">
        <v>735</v>
      </c>
      <c r="B148" s="3" t="str">
        <f>"20128602A"</f>
        <v>20128602A</v>
      </c>
      <c r="C148" s="5" t="s">
        <v>158</v>
      </c>
      <c r="D148" s="4" t="s">
        <v>11</v>
      </c>
      <c r="E148" s="4" t="str">
        <f t="shared" si="0"/>
        <v>AXTC</v>
      </c>
      <c r="F148" s="4" t="s">
        <v>97</v>
      </c>
      <c r="G148" s="4">
        <v>4</v>
      </c>
      <c r="H148" s="4">
        <v>6</v>
      </c>
      <c r="I148" s="4">
        <v>0</v>
      </c>
    </row>
    <row r="149" spans="1:9" ht="15.75" thickBot="1" x14ac:dyDescent="0.3">
      <c r="A149" s="3">
        <v>739</v>
      </c>
      <c r="B149" s="3" t="str">
        <f>"20178605D"</f>
        <v>20178605D</v>
      </c>
      <c r="C149" s="5" t="s">
        <v>159</v>
      </c>
      <c r="D149" s="4" t="s">
        <v>11</v>
      </c>
      <c r="E149" s="4" t="str">
        <f t="shared" si="0"/>
        <v>AXTC</v>
      </c>
      <c r="F149" s="4" t="s">
        <v>97</v>
      </c>
      <c r="G149" s="4">
        <v>4</v>
      </c>
      <c r="H149" s="4">
        <v>6</v>
      </c>
      <c r="I149" s="4">
        <v>0</v>
      </c>
    </row>
    <row r="150" spans="1:9" ht="15.75" thickBot="1" x14ac:dyDescent="0.3">
      <c r="A150" s="3">
        <v>743</v>
      </c>
      <c r="B150" s="3" t="str">
        <f>"19958601D"</f>
        <v>19958601D</v>
      </c>
      <c r="C150" s="5" t="s">
        <v>160</v>
      </c>
      <c r="D150" s="4" t="s">
        <v>11</v>
      </c>
      <c r="E150" s="4" t="str">
        <f t="shared" si="0"/>
        <v>AXTC</v>
      </c>
      <c r="F150" s="4" t="s">
        <v>97</v>
      </c>
      <c r="G150" s="4">
        <v>27</v>
      </c>
      <c r="H150" s="4">
        <v>3</v>
      </c>
      <c r="I150" s="4">
        <v>14</v>
      </c>
    </row>
    <row r="151" spans="1:9" ht="15.75" thickBot="1" x14ac:dyDescent="0.3">
      <c r="A151" s="3">
        <v>750</v>
      </c>
      <c r="B151" s="3" t="str">
        <f>"19808619E"</f>
        <v>19808619E</v>
      </c>
      <c r="C151" s="5" t="s">
        <v>161</v>
      </c>
      <c r="D151" s="4" t="s">
        <v>11</v>
      </c>
      <c r="E151" s="4" t="str">
        <f>"ASTC"</f>
        <v>ASTC</v>
      </c>
      <c r="F151" s="4" t="s">
        <v>97</v>
      </c>
      <c r="G151" s="4">
        <v>28</v>
      </c>
      <c r="H151" s="4">
        <v>1</v>
      </c>
      <c r="I151" s="4">
        <v>1</v>
      </c>
    </row>
    <row r="152" spans="1:9" ht="15.75" thickBot="1" x14ac:dyDescent="0.3">
      <c r="A152" s="3">
        <v>758</v>
      </c>
      <c r="B152" s="3" t="str">
        <f>"19808606K"</f>
        <v>19808606K</v>
      </c>
      <c r="C152" s="5" t="s">
        <v>162</v>
      </c>
      <c r="D152" s="4" t="s">
        <v>11</v>
      </c>
      <c r="E152" s="4" t="str">
        <f>"PRTC"</f>
        <v>PRTC</v>
      </c>
      <c r="F152" s="4" t="s">
        <v>97</v>
      </c>
      <c r="G152" s="4">
        <v>26</v>
      </c>
      <c r="H152" s="4">
        <v>9</v>
      </c>
      <c r="I152" s="4">
        <v>2</v>
      </c>
    </row>
    <row r="153" spans="1:9" ht="15.75" thickBot="1" x14ac:dyDescent="0.3">
      <c r="A153" s="3">
        <v>766</v>
      </c>
      <c r="B153" s="3" t="str">
        <f>"19948602H"</f>
        <v>19948602H</v>
      </c>
      <c r="C153" s="5" t="s">
        <v>163</v>
      </c>
      <c r="D153" s="4" t="s">
        <v>11</v>
      </c>
      <c r="E153" s="4" t="str">
        <f>"ASTC"</f>
        <v>ASTC</v>
      </c>
      <c r="F153" s="4" t="s">
        <v>97</v>
      </c>
      <c r="G153" s="4">
        <v>13</v>
      </c>
      <c r="H153" s="4">
        <v>2</v>
      </c>
      <c r="I153" s="4">
        <v>14</v>
      </c>
    </row>
    <row r="154" spans="1:9" ht="15.75" thickBot="1" x14ac:dyDescent="0.3">
      <c r="A154" s="3">
        <v>767</v>
      </c>
      <c r="B154" s="3" t="str">
        <f>"19918603F"</f>
        <v>19918603F</v>
      </c>
      <c r="C154" s="5" t="s">
        <v>164</v>
      </c>
      <c r="D154" s="4" t="s">
        <v>11</v>
      </c>
      <c r="E154" s="4" t="str">
        <f>"PRTC"</f>
        <v>PRTC</v>
      </c>
      <c r="F154" s="4" t="s">
        <v>97</v>
      </c>
      <c r="G154" s="4">
        <v>9</v>
      </c>
      <c r="H154" s="4">
        <v>6</v>
      </c>
      <c r="I154" s="4">
        <v>12</v>
      </c>
    </row>
    <row r="155" spans="1:9" ht="15.75" thickBot="1" x14ac:dyDescent="0.3">
      <c r="A155" s="3">
        <v>769</v>
      </c>
      <c r="B155" s="3" t="str">
        <f>"19848606A"</f>
        <v>19848606A</v>
      </c>
      <c r="C155" s="5" t="s">
        <v>165</v>
      </c>
      <c r="D155" s="4" t="s">
        <v>11</v>
      </c>
      <c r="E155" s="4" t="str">
        <f>"PRDE"</f>
        <v>PRDE</v>
      </c>
      <c r="F155" s="4" t="s">
        <v>97</v>
      </c>
      <c r="G155" s="4">
        <v>17</v>
      </c>
      <c r="H155" s="4">
        <v>7</v>
      </c>
      <c r="I155" s="4">
        <v>12</v>
      </c>
    </row>
    <row r="156" spans="1:9" ht="15.75" thickBot="1" x14ac:dyDescent="0.3">
      <c r="A156" s="3">
        <v>800</v>
      </c>
      <c r="B156" s="3" t="str">
        <f>"19918642A"</f>
        <v>19918642A</v>
      </c>
      <c r="C156" s="5" t="s">
        <v>166</v>
      </c>
      <c r="D156" s="4" t="s">
        <v>11</v>
      </c>
      <c r="E156" s="4" t="str">
        <f>"ASTC"</f>
        <v>ASTC</v>
      </c>
      <c r="F156" s="4" t="s">
        <v>97</v>
      </c>
      <c r="G156" s="4">
        <v>7</v>
      </c>
      <c r="H156" s="4">
        <v>4</v>
      </c>
      <c r="I156" s="4">
        <v>11</v>
      </c>
    </row>
    <row r="157" spans="1:9" ht="15.75" thickBot="1" x14ac:dyDescent="0.3">
      <c r="A157" s="3">
        <v>803</v>
      </c>
      <c r="B157" s="3" t="str">
        <f>"20088641A"</f>
        <v>20088641A</v>
      </c>
      <c r="C157" s="5" t="s">
        <v>167</v>
      </c>
      <c r="D157" s="4" t="s">
        <v>11</v>
      </c>
      <c r="E157" s="4" t="str">
        <f>"AXTC"</f>
        <v>AXTC</v>
      </c>
      <c r="F157" s="4" t="s">
        <v>97</v>
      </c>
      <c r="G157" s="4">
        <v>4</v>
      </c>
      <c r="H157" s="4">
        <v>6</v>
      </c>
      <c r="I157" s="4">
        <v>0</v>
      </c>
    </row>
    <row r="158" spans="1:9" ht="15.75" thickBot="1" x14ac:dyDescent="0.3">
      <c r="A158" s="3">
        <v>818</v>
      </c>
      <c r="B158" s="3" t="str">
        <f>"20108663E"</f>
        <v>20108663E</v>
      </c>
      <c r="C158" s="5" t="s">
        <v>168</v>
      </c>
      <c r="D158" s="4" t="s">
        <v>11</v>
      </c>
      <c r="E158" s="4" t="str">
        <f>"AXTC"</f>
        <v>AXTC</v>
      </c>
      <c r="F158" s="4" t="s">
        <v>97</v>
      </c>
      <c r="G158" s="4">
        <v>4</v>
      </c>
      <c r="H158" s="4">
        <v>6</v>
      </c>
      <c r="I158" s="4">
        <v>0</v>
      </c>
    </row>
    <row r="159" spans="1:9" ht="15.75" thickBot="1" x14ac:dyDescent="0.3">
      <c r="A159" s="3">
        <v>859</v>
      </c>
      <c r="B159" s="3" t="str">
        <f>"19938668F"</f>
        <v>19938668F</v>
      </c>
      <c r="C159" s="5" t="s">
        <v>169</v>
      </c>
      <c r="D159" s="4" t="s">
        <v>11</v>
      </c>
      <c r="E159" s="4" t="str">
        <f>"PRTC"</f>
        <v>PRTC</v>
      </c>
      <c r="F159" s="4" t="s">
        <v>97</v>
      </c>
      <c r="G159" s="4">
        <v>17</v>
      </c>
      <c r="H159" s="4">
        <v>3</v>
      </c>
      <c r="I159" s="4">
        <v>3</v>
      </c>
    </row>
    <row r="160" spans="1:9" ht="15.75" thickBot="1" x14ac:dyDescent="0.3">
      <c r="A160" s="3">
        <v>872</v>
      </c>
      <c r="B160" s="3" t="str">
        <f>"19898663I"</f>
        <v>19898663I</v>
      </c>
      <c r="C160" s="5" t="s">
        <v>170</v>
      </c>
      <c r="D160" s="4" t="s">
        <v>11</v>
      </c>
      <c r="E160" s="4" t="str">
        <f>"AXTC"</f>
        <v>AXTC</v>
      </c>
      <c r="F160" s="4" t="s">
        <v>97</v>
      </c>
      <c r="G160" s="4">
        <v>4</v>
      </c>
      <c r="H160" s="4">
        <v>6</v>
      </c>
      <c r="I160" s="4">
        <v>0</v>
      </c>
    </row>
    <row r="161" spans="1:9" ht="15.75" thickBot="1" x14ac:dyDescent="0.3">
      <c r="A161" s="3">
        <v>894</v>
      </c>
      <c r="B161" s="3" t="str">
        <f>"20208648H"</f>
        <v>20208648H</v>
      </c>
      <c r="C161" s="5" t="s">
        <v>171</v>
      </c>
      <c r="D161" s="4" t="s">
        <v>11</v>
      </c>
      <c r="E161" s="4" t="str">
        <f>"AXTC"</f>
        <v>AXTC</v>
      </c>
      <c r="F161" s="4" t="s">
        <v>97</v>
      </c>
      <c r="G161" s="4">
        <v>4</v>
      </c>
      <c r="H161" s="4">
        <v>6</v>
      </c>
      <c r="I161" s="4">
        <v>0</v>
      </c>
    </row>
    <row r="162" spans="1:9" ht="15.75" thickBot="1" x14ac:dyDescent="0.3">
      <c r="A162" s="3">
        <v>895</v>
      </c>
      <c r="B162" s="3" t="str">
        <f>"20198644E"</f>
        <v>20198644E</v>
      </c>
      <c r="C162" s="5" t="s">
        <v>172</v>
      </c>
      <c r="D162" s="4" t="s">
        <v>11</v>
      </c>
      <c r="E162" s="4" t="str">
        <f>"AXTC"</f>
        <v>AXTC</v>
      </c>
      <c r="F162" s="4" t="s">
        <v>97</v>
      </c>
      <c r="G162" s="4">
        <v>4</v>
      </c>
      <c r="H162" s="4">
        <v>6</v>
      </c>
      <c r="I162" s="4">
        <v>0</v>
      </c>
    </row>
    <row r="163" spans="1:9" ht="15.75" thickBot="1" x14ac:dyDescent="0.3">
      <c r="A163" s="3">
        <v>929</v>
      </c>
      <c r="B163" s="3" t="str">
        <f>"19898719D"</f>
        <v>19898719D</v>
      </c>
      <c r="C163" s="5" t="s">
        <v>173</v>
      </c>
      <c r="D163" s="4" t="s">
        <v>11</v>
      </c>
      <c r="E163" s="4" t="str">
        <f>"PRTC"</f>
        <v>PRTC</v>
      </c>
      <c r="F163" s="4" t="s">
        <v>97</v>
      </c>
      <c r="G163" s="4">
        <v>16</v>
      </c>
      <c r="H163" s="4">
        <v>8</v>
      </c>
      <c r="I163" s="4">
        <v>12</v>
      </c>
    </row>
    <row r="164" spans="1:9" ht="15.75" thickBot="1" x14ac:dyDescent="0.3">
      <c r="A164" s="3">
        <v>968</v>
      </c>
      <c r="B164" s="3" t="str">
        <f>"19908719A"</f>
        <v>19908719A</v>
      </c>
      <c r="C164" s="5" t="s">
        <v>174</v>
      </c>
      <c r="D164" s="4" t="s">
        <v>11</v>
      </c>
      <c r="E164" s="4" t="str">
        <f>"PRTC"</f>
        <v>PRTC</v>
      </c>
      <c r="F164" s="4" t="s">
        <v>97</v>
      </c>
      <c r="G164" s="4">
        <v>13</v>
      </c>
      <c r="H164" s="4">
        <v>3</v>
      </c>
      <c r="I164" s="4">
        <v>6</v>
      </c>
    </row>
    <row r="165" spans="1:9" ht="15.75" thickBot="1" x14ac:dyDescent="0.3">
      <c r="A165" s="3">
        <v>976</v>
      </c>
      <c r="B165" s="3" t="str">
        <f>"19988718G"</f>
        <v>19988718G</v>
      </c>
      <c r="C165" s="5" t="s">
        <v>175</v>
      </c>
      <c r="D165" s="4" t="s">
        <v>11</v>
      </c>
      <c r="E165" s="4" t="str">
        <f>"AXTC"</f>
        <v>AXTC</v>
      </c>
      <c r="F165" s="4" t="s">
        <v>97</v>
      </c>
      <c r="G165" s="4">
        <v>4</v>
      </c>
      <c r="H165" s="4">
        <v>6</v>
      </c>
      <c r="I165" s="4">
        <v>0</v>
      </c>
    </row>
    <row r="166" spans="1:9" ht="15.75" thickBot="1" x14ac:dyDescent="0.3">
      <c r="A166" s="3">
        <v>1006</v>
      </c>
      <c r="B166" s="3" t="str">
        <f>"19898768E"</f>
        <v>19898768E</v>
      </c>
      <c r="C166" s="5" t="s">
        <v>176</v>
      </c>
      <c r="D166" s="4" t="s">
        <v>11</v>
      </c>
      <c r="E166" s="4" t="str">
        <f>"PRTC"</f>
        <v>PRTC</v>
      </c>
      <c r="F166" s="4" t="s">
        <v>97</v>
      </c>
      <c r="G166" s="4">
        <v>17</v>
      </c>
      <c r="H166" s="4">
        <v>7</v>
      </c>
      <c r="I166" s="4">
        <v>12</v>
      </c>
    </row>
    <row r="167" spans="1:9" ht="15.75" thickBot="1" x14ac:dyDescent="0.3">
      <c r="A167" s="3">
        <v>1019</v>
      </c>
      <c r="B167" s="3" t="str">
        <f>"20178801H"</f>
        <v>20178801H</v>
      </c>
      <c r="C167" s="5" t="s">
        <v>177</v>
      </c>
      <c r="D167" s="4" t="s">
        <v>11</v>
      </c>
      <c r="E167" s="4" t="str">
        <f>"AXTC"</f>
        <v>AXTC</v>
      </c>
      <c r="F167" s="4" t="s">
        <v>97</v>
      </c>
      <c r="G167" s="4">
        <v>4</v>
      </c>
      <c r="H167" s="4">
        <v>6</v>
      </c>
      <c r="I167" s="4">
        <v>0</v>
      </c>
    </row>
    <row r="168" spans="1:9" ht="15.75" thickBot="1" x14ac:dyDescent="0.3">
      <c r="A168" s="3">
        <v>1039</v>
      </c>
      <c r="B168" s="3" t="str">
        <f>"19718833H"</f>
        <v>19718833H</v>
      </c>
      <c r="C168" s="5" t="s">
        <v>178</v>
      </c>
      <c r="D168" s="4" t="s">
        <v>11</v>
      </c>
      <c r="E168" s="4" t="str">
        <f>"PRTC"</f>
        <v>PRTC</v>
      </c>
      <c r="F168" s="4" t="s">
        <v>97</v>
      </c>
      <c r="G168" s="4">
        <v>40</v>
      </c>
      <c r="H168" s="4">
        <v>7</v>
      </c>
      <c r="I168" s="4">
        <v>0</v>
      </c>
    </row>
    <row r="169" spans="1:9" ht="15.75" thickBot="1" x14ac:dyDescent="0.3">
      <c r="A169" s="3">
        <v>1074</v>
      </c>
      <c r="B169" s="3" t="str">
        <f>"19918823F"</f>
        <v>19918823F</v>
      </c>
      <c r="C169" s="5" t="s">
        <v>179</v>
      </c>
      <c r="D169" s="4" t="s">
        <v>11</v>
      </c>
      <c r="E169" s="4" t="str">
        <f>"ASTC"</f>
        <v>ASTC</v>
      </c>
      <c r="F169" s="4" t="s">
        <v>97</v>
      </c>
      <c r="G169" s="4">
        <v>13</v>
      </c>
      <c r="H169" s="4">
        <v>2</v>
      </c>
      <c r="I169" s="4">
        <v>14</v>
      </c>
    </row>
    <row r="170" spans="1:9" ht="15.75" thickBot="1" x14ac:dyDescent="0.3">
      <c r="A170" s="3">
        <v>1083</v>
      </c>
      <c r="B170" s="3" t="str">
        <f>"19878821H"</f>
        <v>19878821H</v>
      </c>
      <c r="C170" s="5" t="s">
        <v>180</v>
      </c>
      <c r="D170" s="4" t="s">
        <v>11</v>
      </c>
      <c r="E170" s="4" t="str">
        <f>"ASTP"</f>
        <v>ASTP</v>
      </c>
      <c r="F170" s="4" t="s">
        <v>97</v>
      </c>
      <c r="G170" s="4">
        <v>13</v>
      </c>
      <c r="H170" s="4">
        <v>1</v>
      </c>
      <c r="I170" s="4">
        <v>0</v>
      </c>
    </row>
    <row r="171" spans="1:9" ht="15.75" thickBot="1" x14ac:dyDescent="0.3">
      <c r="A171" s="3">
        <v>1087</v>
      </c>
      <c r="B171" s="3" t="str">
        <f>"20188821A"</f>
        <v>20188821A</v>
      </c>
      <c r="C171" s="5" t="s">
        <v>181</v>
      </c>
      <c r="D171" s="4" t="s">
        <v>11</v>
      </c>
      <c r="E171" s="4" t="str">
        <f>"AXTC"</f>
        <v>AXTC</v>
      </c>
      <c r="F171" s="4" t="s">
        <v>97</v>
      </c>
      <c r="G171" s="4">
        <v>4</v>
      </c>
      <c r="H171" s="4">
        <v>6</v>
      </c>
      <c r="I171" s="4">
        <v>0</v>
      </c>
    </row>
    <row r="172" spans="1:9" ht="15.75" thickBot="1" x14ac:dyDescent="0.3">
      <c r="A172" s="3">
        <v>15</v>
      </c>
      <c r="B172" s="3" t="str">
        <f>"20138006B"</f>
        <v>20138006B</v>
      </c>
      <c r="C172" s="5" t="s">
        <v>182</v>
      </c>
      <c r="D172" s="4" t="s">
        <v>11</v>
      </c>
      <c r="E172" s="4" t="str">
        <f>"AXTP"</f>
        <v>AXTP</v>
      </c>
      <c r="F172" s="4" t="s">
        <v>183</v>
      </c>
      <c r="G172" s="4">
        <v>4</v>
      </c>
      <c r="H172" s="4">
        <v>6</v>
      </c>
      <c r="I172" s="4">
        <v>0</v>
      </c>
    </row>
    <row r="173" spans="1:9" ht="15.75" thickBot="1" x14ac:dyDescent="0.3">
      <c r="A173" s="3">
        <v>27</v>
      </c>
      <c r="B173" s="3" t="str">
        <f>"20178004K"</f>
        <v>20178004K</v>
      </c>
      <c r="C173" s="5" t="s">
        <v>184</v>
      </c>
      <c r="D173" s="4" t="s">
        <v>11</v>
      </c>
      <c r="E173" s="4" t="str">
        <f>"AXTP"</f>
        <v>AXTP</v>
      </c>
      <c r="F173" s="4" t="s">
        <v>183</v>
      </c>
      <c r="G173" s="4">
        <v>4</v>
      </c>
      <c r="H173" s="4">
        <v>6</v>
      </c>
      <c r="I173" s="4">
        <v>0</v>
      </c>
    </row>
    <row r="174" spans="1:9" ht="15.75" thickBot="1" x14ac:dyDescent="0.3">
      <c r="A174" s="3">
        <v>28</v>
      </c>
      <c r="B174" s="3" t="str">
        <f>"20178005G"</f>
        <v>20178005G</v>
      </c>
      <c r="C174" s="5" t="s">
        <v>185</v>
      </c>
      <c r="D174" s="4" t="s">
        <v>11</v>
      </c>
      <c r="E174" s="4" t="str">
        <f>"AXTP"</f>
        <v>AXTP</v>
      </c>
      <c r="F174" s="4" t="s">
        <v>183</v>
      </c>
      <c r="G174" s="4">
        <v>4</v>
      </c>
      <c r="H174" s="4">
        <v>6</v>
      </c>
      <c r="I174" s="4">
        <v>0</v>
      </c>
    </row>
    <row r="175" spans="1:9" ht="15.75" thickBot="1" x14ac:dyDescent="0.3">
      <c r="A175" s="3">
        <v>54</v>
      </c>
      <c r="B175" s="3" t="str">
        <f>"20178003D"</f>
        <v>20178003D</v>
      </c>
      <c r="C175" s="5" t="s">
        <v>186</v>
      </c>
      <c r="D175" s="4" t="s">
        <v>11</v>
      </c>
      <c r="E175" s="4" t="str">
        <f>"AXTP"</f>
        <v>AXTP</v>
      </c>
      <c r="F175" s="4" t="s">
        <v>183</v>
      </c>
      <c r="G175" s="4">
        <v>4</v>
      </c>
      <c r="H175" s="4">
        <v>6</v>
      </c>
      <c r="I175" s="4">
        <v>0</v>
      </c>
    </row>
    <row r="176" spans="1:9" ht="15.75" thickBot="1" x14ac:dyDescent="0.3">
      <c r="A176" s="3">
        <v>77</v>
      </c>
      <c r="B176" s="3" t="str">
        <f>"20228003B"</f>
        <v>20228003B</v>
      </c>
      <c r="C176" s="5" t="s">
        <v>187</v>
      </c>
      <c r="D176" s="4" t="s">
        <v>11</v>
      </c>
      <c r="E176" s="4" t="str">
        <f>"AXTC"</f>
        <v>AXTC</v>
      </c>
      <c r="F176" s="4" t="s">
        <v>183</v>
      </c>
      <c r="G176" s="4">
        <v>3</v>
      </c>
      <c r="H176" s="4">
        <v>6</v>
      </c>
      <c r="I176" s="4">
        <v>24</v>
      </c>
    </row>
    <row r="177" spans="1:9" ht="15.75" thickBot="1" x14ac:dyDescent="0.3">
      <c r="A177" s="3">
        <v>101</v>
      </c>
      <c r="B177" s="3" t="str">
        <f>"19948068A"</f>
        <v>19948068A</v>
      </c>
      <c r="C177" s="5" t="s">
        <v>188</v>
      </c>
      <c r="D177" s="4" t="s">
        <v>11</v>
      </c>
      <c r="E177" s="4" t="str">
        <f>"ASTC"</f>
        <v>ASTC</v>
      </c>
      <c r="F177" s="4" t="s">
        <v>183</v>
      </c>
      <c r="G177" s="4">
        <v>15</v>
      </c>
      <c r="H177" s="4">
        <v>5</v>
      </c>
      <c r="I177" s="4">
        <v>12</v>
      </c>
    </row>
    <row r="178" spans="1:9" ht="15.75" thickBot="1" x14ac:dyDescent="0.3">
      <c r="A178" s="3">
        <v>105</v>
      </c>
      <c r="B178" s="3" t="str">
        <f>"20148061F"</f>
        <v>20148061F</v>
      </c>
      <c r="C178" s="5" t="s">
        <v>189</v>
      </c>
      <c r="D178" s="4" t="s">
        <v>11</v>
      </c>
      <c r="E178" s="4" t="str">
        <f>"AXTC"</f>
        <v>AXTC</v>
      </c>
      <c r="F178" s="4" t="s">
        <v>183</v>
      </c>
      <c r="G178" s="4">
        <v>4</v>
      </c>
      <c r="H178" s="4">
        <v>6</v>
      </c>
      <c r="I178" s="4">
        <v>0</v>
      </c>
    </row>
    <row r="179" spans="1:9" ht="15.75" thickBot="1" x14ac:dyDescent="0.3">
      <c r="A179" s="3">
        <v>181</v>
      </c>
      <c r="B179" s="3" t="str">
        <f>"19958131H"</f>
        <v>19958131H</v>
      </c>
      <c r="C179" s="5" t="s">
        <v>190</v>
      </c>
      <c r="D179" s="4" t="s">
        <v>11</v>
      </c>
      <c r="E179" s="4" t="str">
        <f>"ASTC"</f>
        <v>ASTC</v>
      </c>
      <c r="F179" s="4" t="s">
        <v>183</v>
      </c>
      <c r="G179" s="4">
        <v>24</v>
      </c>
      <c r="H179" s="4">
        <v>1</v>
      </c>
      <c r="I179" s="4">
        <v>4</v>
      </c>
    </row>
    <row r="180" spans="1:9" ht="15.75" thickBot="1" x14ac:dyDescent="0.3">
      <c r="A180" s="3">
        <v>184</v>
      </c>
      <c r="B180" s="3" t="str">
        <f>"19798122F"</f>
        <v>19798122F</v>
      </c>
      <c r="C180" s="5" t="s">
        <v>191</v>
      </c>
      <c r="D180" s="4" t="s">
        <v>11</v>
      </c>
      <c r="E180" s="4" t="str">
        <f>"PRTC"</f>
        <v>PRTC</v>
      </c>
      <c r="F180" s="4" t="s">
        <v>183</v>
      </c>
      <c r="G180" s="4">
        <v>34</v>
      </c>
      <c r="H180" s="4">
        <v>5</v>
      </c>
      <c r="I180" s="4">
        <v>20</v>
      </c>
    </row>
    <row r="181" spans="1:9" ht="15.75" thickBot="1" x14ac:dyDescent="0.3">
      <c r="A181" s="3">
        <v>208</v>
      </c>
      <c r="B181" s="3" t="str">
        <f>"19958132D"</f>
        <v>19958132D</v>
      </c>
      <c r="C181" s="5" t="s">
        <v>192</v>
      </c>
      <c r="D181" s="4" t="s">
        <v>11</v>
      </c>
      <c r="E181" s="4" t="str">
        <f>"AXTP"</f>
        <v>AXTP</v>
      </c>
      <c r="F181" s="4" t="s">
        <v>183</v>
      </c>
      <c r="G181" s="4">
        <v>23</v>
      </c>
      <c r="H181" s="4">
        <v>7</v>
      </c>
      <c r="I181" s="4">
        <v>17</v>
      </c>
    </row>
    <row r="182" spans="1:9" ht="15.75" thickBot="1" x14ac:dyDescent="0.3">
      <c r="A182" s="3">
        <v>220</v>
      </c>
      <c r="B182" s="3" t="str">
        <f>"19968124D"</f>
        <v>19968124D</v>
      </c>
      <c r="C182" s="5" t="s">
        <v>193</v>
      </c>
      <c r="D182" s="4" t="s">
        <v>11</v>
      </c>
      <c r="E182" s="4" t="str">
        <f>"AXTP"</f>
        <v>AXTP</v>
      </c>
      <c r="F182" s="4" t="s">
        <v>183</v>
      </c>
      <c r="G182" s="4">
        <v>15</v>
      </c>
      <c r="H182" s="4">
        <v>9</v>
      </c>
      <c r="I182" s="4">
        <v>20</v>
      </c>
    </row>
    <row r="183" spans="1:9" ht="15.75" thickBot="1" x14ac:dyDescent="0.3">
      <c r="A183" s="3">
        <v>233</v>
      </c>
      <c r="B183" s="3" t="str">
        <f>"19878130E"</f>
        <v>19878130E</v>
      </c>
      <c r="C183" s="5" t="s">
        <v>194</v>
      </c>
      <c r="D183" s="4" t="s">
        <v>11</v>
      </c>
      <c r="E183" s="4" t="str">
        <f>"PRTC"</f>
        <v>PRTC</v>
      </c>
      <c r="F183" s="4" t="s">
        <v>183</v>
      </c>
      <c r="G183" s="4">
        <v>15</v>
      </c>
      <c r="H183" s="4">
        <v>5</v>
      </c>
      <c r="I183" s="4">
        <v>12</v>
      </c>
    </row>
    <row r="184" spans="1:9" ht="15.75" thickBot="1" x14ac:dyDescent="0.3">
      <c r="A184" s="3">
        <v>234</v>
      </c>
      <c r="B184" s="3" t="str">
        <f>"20018122E"</f>
        <v>20018122E</v>
      </c>
      <c r="C184" s="5" t="s">
        <v>195</v>
      </c>
      <c r="D184" s="4" t="s">
        <v>11</v>
      </c>
      <c r="E184" s="4" t="str">
        <f>"ASTC"</f>
        <v>ASTC</v>
      </c>
      <c r="F184" s="4" t="s">
        <v>183</v>
      </c>
      <c r="G184" s="4">
        <v>8</v>
      </c>
      <c r="H184" s="4">
        <v>4</v>
      </c>
      <c r="I184" s="4">
        <v>10</v>
      </c>
    </row>
    <row r="185" spans="1:9" ht="15.75" thickBot="1" x14ac:dyDescent="0.3">
      <c r="A185" s="3">
        <v>255</v>
      </c>
      <c r="B185" s="3" t="str">
        <f>"20188122F"</f>
        <v>20188122F</v>
      </c>
      <c r="C185" s="5" t="s">
        <v>196</v>
      </c>
      <c r="D185" s="4" t="s">
        <v>11</v>
      </c>
      <c r="E185" s="4" t="str">
        <f>"AXTC"</f>
        <v>AXTC</v>
      </c>
      <c r="F185" s="4" t="s">
        <v>183</v>
      </c>
      <c r="G185" s="4">
        <v>4</v>
      </c>
      <c r="H185" s="4">
        <v>6</v>
      </c>
      <c r="I185" s="4">
        <v>0</v>
      </c>
    </row>
    <row r="186" spans="1:9" ht="15.75" thickBot="1" x14ac:dyDescent="0.3">
      <c r="A186" s="3">
        <v>285</v>
      </c>
      <c r="B186" s="3" t="str">
        <f>"19988124J"</f>
        <v>19988124J</v>
      </c>
      <c r="C186" s="5" t="s">
        <v>197</v>
      </c>
      <c r="D186" s="4" t="s">
        <v>11</v>
      </c>
      <c r="E186" s="4" t="str">
        <f>"AXTC"</f>
        <v>AXTC</v>
      </c>
      <c r="F186" s="4" t="s">
        <v>183</v>
      </c>
      <c r="G186" s="4">
        <v>16</v>
      </c>
      <c r="H186" s="4">
        <v>3</v>
      </c>
      <c r="I186" s="4">
        <v>21</v>
      </c>
    </row>
    <row r="187" spans="1:9" ht="15.75" thickBot="1" x14ac:dyDescent="0.3">
      <c r="A187" s="3">
        <v>303</v>
      </c>
      <c r="B187" s="3" t="str">
        <f>"19928212J"</f>
        <v>19928212J</v>
      </c>
      <c r="C187" s="5" t="s">
        <v>198</v>
      </c>
      <c r="D187" s="4" t="s">
        <v>11</v>
      </c>
      <c r="E187" s="4" t="str">
        <f>"AXTP"</f>
        <v>AXTP</v>
      </c>
      <c r="F187" s="4" t="s">
        <v>183</v>
      </c>
      <c r="G187" s="4">
        <v>16</v>
      </c>
      <c r="H187" s="4">
        <v>3</v>
      </c>
      <c r="I187" s="4">
        <v>21</v>
      </c>
    </row>
    <row r="188" spans="1:9" ht="15.75" thickBot="1" x14ac:dyDescent="0.3">
      <c r="A188" s="3">
        <v>310</v>
      </c>
      <c r="B188" s="3" t="str">
        <f>"20208186D"</f>
        <v>20208186D</v>
      </c>
      <c r="C188" s="5" t="s">
        <v>199</v>
      </c>
      <c r="D188" s="4" t="s">
        <v>11</v>
      </c>
      <c r="E188" s="4" t="str">
        <f>"AXTP"</f>
        <v>AXTP</v>
      </c>
      <c r="F188" s="4" t="s">
        <v>183</v>
      </c>
      <c r="G188" s="4">
        <v>4</v>
      </c>
      <c r="H188" s="4">
        <v>6</v>
      </c>
      <c r="I188" s="4">
        <v>0</v>
      </c>
    </row>
    <row r="189" spans="1:9" ht="15.75" thickBot="1" x14ac:dyDescent="0.3">
      <c r="A189" s="3">
        <v>387</v>
      </c>
      <c r="B189" s="3" t="str">
        <f>"19998307J"</f>
        <v>19998307J</v>
      </c>
      <c r="C189" s="5" t="s">
        <v>200</v>
      </c>
      <c r="D189" s="4" t="s">
        <v>11</v>
      </c>
      <c r="E189" s="4" t="str">
        <f>"AXTC"</f>
        <v>AXTC</v>
      </c>
      <c r="F189" s="4" t="s">
        <v>183</v>
      </c>
      <c r="G189" s="4">
        <v>4</v>
      </c>
      <c r="H189" s="4">
        <v>6</v>
      </c>
      <c r="I189" s="4">
        <v>0</v>
      </c>
    </row>
    <row r="190" spans="1:9" ht="15.75" thickBot="1" x14ac:dyDescent="0.3">
      <c r="A190" s="3">
        <v>414</v>
      </c>
      <c r="B190" s="3" t="str">
        <f>"20128304K"</f>
        <v>20128304K</v>
      </c>
      <c r="C190" s="5" t="s">
        <v>201</v>
      </c>
      <c r="D190" s="4" t="s">
        <v>11</v>
      </c>
      <c r="E190" s="4" t="str">
        <f>"AXTC"</f>
        <v>AXTC</v>
      </c>
      <c r="F190" s="4" t="s">
        <v>183</v>
      </c>
      <c r="G190" s="4">
        <v>4</v>
      </c>
      <c r="H190" s="4">
        <v>6</v>
      </c>
      <c r="I190" s="4">
        <v>0</v>
      </c>
    </row>
    <row r="191" spans="1:9" ht="15.75" thickBot="1" x14ac:dyDescent="0.3">
      <c r="A191" s="3">
        <v>437</v>
      </c>
      <c r="B191" s="3" t="str">
        <f>"20138351A"</f>
        <v>20138351A</v>
      </c>
      <c r="C191" s="5" t="s">
        <v>202</v>
      </c>
      <c r="D191" s="4" t="s">
        <v>11</v>
      </c>
      <c r="E191" s="4" t="str">
        <f>"AXTC"</f>
        <v>AXTC</v>
      </c>
      <c r="F191" s="4" t="s">
        <v>183</v>
      </c>
      <c r="G191" s="4">
        <v>4</v>
      </c>
      <c r="H191" s="4">
        <v>6</v>
      </c>
      <c r="I191" s="4">
        <v>0</v>
      </c>
    </row>
    <row r="192" spans="1:9" ht="15.75" thickBot="1" x14ac:dyDescent="0.3">
      <c r="A192" s="3">
        <v>452</v>
      </c>
      <c r="B192" s="3" t="str">
        <f>"20188351E"</f>
        <v>20188351E</v>
      </c>
      <c r="C192" s="5" t="s">
        <v>203</v>
      </c>
      <c r="D192" s="4" t="s">
        <v>11</v>
      </c>
      <c r="E192" s="4" t="str">
        <f>"AXTC"</f>
        <v>AXTC</v>
      </c>
      <c r="F192" s="4" t="s">
        <v>183</v>
      </c>
      <c r="G192" s="4">
        <v>4</v>
      </c>
      <c r="H192" s="4">
        <v>6</v>
      </c>
      <c r="I192" s="4">
        <v>0</v>
      </c>
    </row>
    <row r="193" spans="1:9" ht="15.75" thickBot="1" x14ac:dyDescent="0.3">
      <c r="A193" s="3">
        <v>461</v>
      </c>
      <c r="B193" s="3" t="str">
        <f>"20208351E"</f>
        <v>20208351E</v>
      </c>
      <c r="C193" s="5" t="s">
        <v>204</v>
      </c>
      <c r="D193" s="4" t="s">
        <v>11</v>
      </c>
      <c r="E193" s="4" t="str">
        <f>"AXTP"</f>
        <v>AXTP</v>
      </c>
      <c r="F193" s="4" t="s">
        <v>183</v>
      </c>
      <c r="G193" s="4">
        <v>4</v>
      </c>
      <c r="H193" s="4">
        <v>6</v>
      </c>
      <c r="I193" s="4">
        <v>0</v>
      </c>
    </row>
    <row r="194" spans="1:9" ht="15.75" thickBot="1" x14ac:dyDescent="0.3">
      <c r="A194" s="3">
        <v>470</v>
      </c>
      <c r="B194" s="3" t="str">
        <f>"20208348D"</f>
        <v>20208348D</v>
      </c>
      <c r="C194" s="5" t="s">
        <v>205</v>
      </c>
      <c r="D194" s="4" t="s">
        <v>11</v>
      </c>
      <c r="E194" s="4" t="str">
        <f>"AXTC"</f>
        <v>AXTC</v>
      </c>
      <c r="F194" s="4" t="s">
        <v>183</v>
      </c>
      <c r="G194" s="4">
        <v>4</v>
      </c>
      <c r="H194" s="4">
        <v>6</v>
      </c>
      <c r="I194" s="4">
        <v>0</v>
      </c>
    </row>
    <row r="195" spans="1:9" ht="15.75" thickBot="1" x14ac:dyDescent="0.3">
      <c r="A195" s="3">
        <v>518</v>
      </c>
      <c r="B195" s="3" t="str">
        <f>"20208473C"</f>
        <v>20208473C</v>
      </c>
      <c r="C195" s="5" t="s">
        <v>206</v>
      </c>
      <c r="D195" s="4" t="s">
        <v>11</v>
      </c>
      <c r="E195" s="4" t="str">
        <f>"AXTP"</f>
        <v>AXTP</v>
      </c>
      <c r="F195" s="4" t="s">
        <v>183</v>
      </c>
      <c r="G195" s="4">
        <v>4</v>
      </c>
      <c r="H195" s="4">
        <v>6</v>
      </c>
      <c r="I195" s="4">
        <v>0</v>
      </c>
    </row>
    <row r="196" spans="1:9" ht="15.75" thickBot="1" x14ac:dyDescent="0.3">
      <c r="A196" s="3">
        <v>555</v>
      </c>
      <c r="B196" s="3" t="str">
        <f>"19888506H"</f>
        <v>19888506H</v>
      </c>
      <c r="C196" s="5" t="s">
        <v>207</v>
      </c>
      <c r="D196" s="4" t="s">
        <v>11</v>
      </c>
      <c r="E196" s="4" t="str">
        <f>"ASTC"</f>
        <v>ASTC</v>
      </c>
      <c r="F196" s="4" t="s">
        <v>183</v>
      </c>
      <c r="G196" s="4">
        <v>27</v>
      </c>
      <c r="H196" s="4">
        <v>0</v>
      </c>
      <c r="I196" s="4">
        <v>15</v>
      </c>
    </row>
    <row r="197" spans="1:9" ht="15.75" thickBot="1" x14ac:dyDescent="0.3">
      <c r="A197" s="3">
        <v>569</v>
      </c>
      <c r="B197" s="3" t="str">
        <f>"20198502F"</f>
        <v>20198502F</v>
      </c>
      <c r="C197" s="5" t="s">
        <v>208</v>
      </c>
      <c r="D197" s="4" t="s">
        <v>11</v>
      </c>
      <c r="E197" s="4" t="str">
        <f>"AXTC"</f>
        <v>AXTC</v>
      </c>
      <c r="F197" s="4" t="s">
        <v>183</v>
      </c>
      <c r="G197" s="4">
        <v>4</v>
      </c>
      <c r="H197" s="4">
        <v>6</v>
      </c>
      <c r="I197" s="4">
        <v>0</v>
      </c>
    </row>
    <row r="198" spans="1:9" ht="15.75" thickBot="1" x14ac:dyDescent="0.3">
      <c r="A198" s="3">
        <v>573</v>
      </c>
      <c r="B198" s="3" t="str">
        <f>"20178508I"</f>
        <v>20178508I</v>
      </c>
      <c r="C198" s="5" t="s">
        <v>209</v>
      </c>
      <c r="D198" s="4" t="s">
        <v>11</v>
      </c>
      <c r="E198" s="4" t="str">
        <f>"AXTP"</f>
        <v>AXTP</v>
      </c>
      <c r="F198" s="4" t="s">
        <v>183</v>
      </c>
      <c r="G198" s="4">
        <v>4</v>
      </c>
      <c r="H198" s="4">
        <v>6</v>
      </c>
      <c r="I198" s="4">
        <v>0</v>
      </c>
    </row>
    <row r="199" spans="1:9" ht="15.75" thickBot="1" x14ac:dyDescent="0.3">
      <c r="A199" s="3">
        <v>574</v>
      </c>
      <c r="B199" s="3" t="str">
        <f>"19998513I"</f>
        <v>19998513I</v>
      </c>
      <c r="C199" s="5" t="s">
        <v>210</v>
      </c>
      <c r="D199" s="4" t="s">
        <v>11</v>
      </c>
      <c r="E199" s="4" t="str">
        <f>"AXTP"</f>
        <v>AXTP</v>
      </c>
      <c r="F199" s="4" t="s">
        <v>183</v>
      </c>
      <c r="G199" s="4">
        <v>4</v>
      </c>
      <c r="H199" s="4">
        <v>6</v>
      </c>
      <c r="I199" s="4">
        <v>0</v>
      </c>
    </row>
    <row r="200" spans="1:9" ht="15.75" thickBot="1" x14ac:dyDescent="0.3">
      <c r="A200" s="3">
        <v>585</v>
      </c>
      <c r="B200" s="3" t="str">
        <f>"20178509E"</f>
        <v>20178509E</v>
      </c>
      <c r="C200" s="5" t="s">
        <v>211</v>
      </c>
      <c r="D200" s="4" t="s">
        <v>11</v>
      </c>
      <c r="E200" s="4" t="str">
        <f>"AXTP"</f>
        <v>AXTP</v>
      </c>
      <c r="F200" s="4" t="s">
        <v>183</v>
      </c>
      <c r="G200" s="4">
        <v>4</v>
      </c>
      <c r="H200" s="4">
        <v>6</v>
      </c>
      <c r="I200" s="4">
        <v>0</v>
      </c>
    </row>
    <row r="201" spans="1:9" ht="15.75" thickBot="1" x14ac:dyDescent="0.3">
      <c r="A201" s="3">
        <v>587</v>
      </c>
      <c r="B201" s="3" t="str">
        <f>"19968501B"</f>
        <v>19968501B</v>
      </c>
      <c r="C201" s="5" t="s">
        <v>212</v>
      </c>
      <c r="D201" s="4" t="s">
        <v>11</v>
      </c>
      <c r="E201" s="4" t="str">
        <f>"AXTP"</f>
        <v>AXTP</v>
      </c>
      <c r="F201" s="4" t="s">
        <v>183</v>
      </c>
      <c r="G201" s="4">
        <v>16</v>
      </c>
      <c r="H201" s="4">
        <v>3</v>
      </c>
      <c r="I201" s="4">
        <v>21</v>
      </c>
    </row>
    <row r="202" spans="1:9" ht="15.75" thickBot="1" x14ac:dyDescent="0.3">
      <c r="A202" s="3">
        <v>603</v>
      </c>
      <c r="B202" s="3" t="str">
        <f>"19888521G"</f>
        <v>19888521G</v>
      </c>
      <c r="C202" s="5" t="s">
        <v>213</v>
      </c>
      <c r="D202" s="6" t="s">
        <v>11</v>
      </c>
      <c r="E202" s="4" t="str">
        <f>"PRTC"</f>
        <v>PRTC</v>
      </c>
      <c r="F202" s="4" t="s">
        <v>183</v>
      </c>
      <c r="G202" s="4">
        <v>24</v>
      </c>
      <c r="H202" s="4">
        <v>0</v>
      </c>
      <c r="I202" s="4">
        <v>2</v>
      </c>
    </row>
    <row r="203" spans="1:9" ht="15.75" thickBot="1" x14ac:dyDescent="0.3">
      <c r="A203" s="3">
        <v>619</v>
      </c>
      <c r="B203" s="3" t="str">
        <f>"20188512I"</f>
        <v>20188512I</v>
      </c>
      <c r="C203" s="5" t="s">
        <v>214</v>
      </c>
      <c r="D203" s="4" t="s">
        <v>11</v>
      </c>
      <c r="E203" s="4" t="str">
        <f>"AXTP"</f>
        <v>AXTP</v>
      </c>
      <c r="F203" s="4" t="s">
        <v>183</v>
      </c>
      <c r="G203" s="4">
        <v>4</v>
      </c>
      <c r="H203" s="4">
        <v>5</v>
      </c>
      <c r="I203" s="4">
        <v>1</v>
      </c>
    </row>
    <row r="204" spans="1:9" ht="15.75" thickBot="1" x14ac:dyDescent="0.3">
      <c r="A204" s="3">
        <v>632</v>
      </c>
      <c r="B204" s="3" t="str">
        <f>"20178502K"</f>
        <v>20178502K</v>
      </c>
      <c r="C204" s="5" t="s">
        <v>215</v>
      </c>
      <c r="D204" s="4" t="s">
        <v>11</v>
      </c>
      <c r="E204" s="4" t="str">
        <f>"AXTP"</f>
        <v>AXTP</v>
      </c>
      <c r="F204" s="4" t="s">
        <v>183</v>
      </c>
      <c r="G204" s="4">
        <v>4</v>
      </c>
      <c r="H204" s="4">
        <v>6</v>
      </c>
      <c r="I204" s="4">
        <v>0</v>
      </c>
    </row>
    <row r="205" spans="1:9" ht="15.75" thickBot="1" x14ac:dyDescent="0.3">
      <c r="A205" s="3">
        <v>663</v>
      </c>
      <c r="B205" s="3" t="str">
        <f>"20178563J"</f>
        <v>20178563J</v>
      </c>
      <c r="C205" s="5" t="s">
        <v>216</v>
      </c>
      <c r="D205" s="4" t="s">
        <v>11</v>
      </c>
      <c r="E205" s="4" t="str">
        <f>"AXTC"</f>
        <v>AXTC</v>
      </c>
      <c r="F205" s="4" t="s">
        <v>183</v>
      </c>
      <c r="G205" s="4">
        <v>4</v>
      </c>
      <c r="H205" s="4">
        <v>6</v>
      </c>
      <c r="I205" s="4">
        <v>0</v>
      </c>
    </row>
    <row r="206" spans="1:9" ht="15.75" thickBot="1" x14ac:dyDescent="0.3">
      <c r="A206" s="3">
        <v>664</v>
      </c>
      <c r="B206" s="3" t="str">
        <f>"19908563A"</f>
        <v>19908563A</v>
      </c>
      <c r="C206" s="5" t="s">
        <v>217</v>
      </c>
      <c r="D206" s="4" t="s">
        <v>11</v>
      </c>
      <c r="E206" s="4" t="str">
        <f>"ASTC"</f>
        <v>ASTC</v>
      </c>
      <c r="F206" s="4" t="s">
        <v>183</v>
      </c>
      <c r="G206" s="4">
        <v>23</v>
      </c>
      <c r="H206" s="4">
        <v>9</v>
      </c>
      <c r="I206" s="4">
        <v>27</v>
      </c>
    </row>
    <row r="207" spans="1:9" ht="15.75" thickBot="1" x14ac:dyDescent="0.3">
      <c r="A207" s="3">
        <v>690</v>
      </c>
      <c r="B207" s="3" t="str">
        <f>"19848584H"</f>
        <v>19848584H</v>
      </c>
      <c r="C207" s="5" t="s">
        <v>218</v>
      </c>
      <c r="D207" s="4" t="s">
        <v>11</v>
      </c>
      <c r="E207" s="4" t="str">
        <f>"ASTC"</f>
        <v>ASTC</v>
      </c>
      <c r="F207" s="4" t="s">
        <v>183</v>
      </c>
      <c r="G207" s="4">
        <v>33</v>
      </c>
      <c r="H207" s="4">
        <v>6</v>
      </c>
      <c r="I207" s="4">
        <v>15</v>
      </c>
    </row>
    <row r="208" spans="1:9" ht="15.75" thickBot="1" x14ac:dyDescent="0.3">
      <c r="A208" s="3">
        <v>695</v>
      </c>
      <c r="B208" s="3" t="str">
        <f>"19838581F"</f>
        <v>19838581F</v>
      </c>
      <c r="C208" s="5" t="s">
        <v>219</v>
      </c>
      <c r="D208" s="4" t="s">
        <v>11</v>
      </c>
      <c r="E208" s="4" t="str">
        <f>"ASTC"</f>
        <v>ASTC</v>
      </c>
      <c r="F208" s="4" t="s">
        <v>183</v>
      </c>
      <c r="G208" s="4">
        <v>24</v>
      </c>
      <c r="H208" s="4">
        <v>3</v>
      </c>
      <c r="I208" s="4">
        <v>0</v>
      </c>
    </row>
    <row r="209" spans="1:9" ht="15.75" thickBot="1" x14ac:dyDescent="0.3">
      <c r="A209" s="3">
        <v>736</v>
      </c>
      <c r="B209" s="3" t="str">
        <f>"20208592B"</f>
        <v>20208592B</v>
      </c>
      <c r="C209" s="5" t="s">
        <v>220</v>
      </c>
      <c r="D209" s="4" t="s">
        <v>11</v>
      </c>
      <c r="E209" s="4" t="str">
        <f>"AXTP"</f>
        <v>AXTP</v>
      </c>
      <c r="F209" s="4" t="s">
        <v>183</v>
      </c>
      <c r="G209" s="4">
        <v>4</v>
      </c>
      <c r="H209" s="4">
        <v>6</v>
      </c>
      <c r="I209" s="4">
        <v>0</v>
      </c>
    </row>
    <row r="210" spans="1:9" ht="15.75" thickBot="1" x14ac:dyDescent="0.3">
      <c r="A210" s="3">
        <v>771</v>
      </c>
      <c r="B210" s="3" t="str">
        <f>"20178601I"</f>
        <v>20178601I</v>
      </c>
      <c r="C210" s="5" t="s">
        <v>221</v>
      </c>
      <c r="D210" s="4" t="s">
        <v>11</v>
      </c>
      <c r="E210" s="4" t="str">
        <f>"AXTP"</f>
        <v>AXTP</v>
      </c>
      <c r="F210" s="4" t="s">
        <v>183</v>
      </c>
      <c r="G210" s="4">
        <v>4</v>
      </c>
      <c r="H210" s="4">
        <v>6</v>
      </c>
      <c r="I210" s="4">
        <v>0</v>
      </c>
    </row>
    <row r="211" spans="1:9" ht="15.75" thickBot="1" x14ac:dyDescent="0.3">
      <c r="A211" s="3">
        <v>811</v>
      </c>
      <c r="B211" s="3" t="str">
        <f>"20148642I"</f>
        <v>20148642I</v>
      </c>
      <c r="C211" s="5" t="s">
        <v>222</v>
      </c>
      <c r="D211" s="4" t="s">
        <v>11</v>
      </c>
      <c r="E211" s="4" t="str">
        <f>"AXTC"</f>
        <v>AXTC</v>
      </c>
      <c r="F211" s="4" t="s">
        <v>183</v>
      </c>
      <c r="G211" s="4">
        <v>4</v>
      </c>
      <c r="H211" s="4">
        <v>6</v>
      </c>
      <c r="I211" s="4">
        <v>0</v>
      </c>
    </row>
    <row r="212" spans="1:9" ht="15.75" thickBot="1" x14ac:dyDescent="0.3">
      <c r="A212" s="3">
        <v>836</v>
      </c>
      <c r="B212" s="3" t="str">
        <f>"20168663A"</f>
        <v>20168663A</v>
      </c>
      <c r="C212" s="5" t="s">
        <v>223</v>
      </c>
      <c r="D212" s="4" t="s">
        <v>11</v>
      </c>
      <c r="E212" s="4" t="str">
        <f>"AXTC"</f>
        <v>AXTC</v>
      </c>
      <c r="F212" s="4" t="s">
        <v>183</v>
      </c>
      <c r="G212" s="4">
        <v>4</v>
      </c>
      <c r="H212" s="4">
        <v>6</v>
      </c>
      <c r="I212" s="4">
        <v>0</v>
      </c>
    </row>
    <row r="213" spans="1:9" ht="15.75" thickBot="1" x14ac:dyDescent="0.3">
      <c r="A213" s="3">
        <v>853</v>
      </c>
      <c r="B213" s="3" t="str">
        <f>"19908661C"</f>
        <v>19908661C</v>
      </c>
      <c r="C213" s="5" t="s">
        <v>224</v>
      </c>
      <c r="D213" s="4" t="s">
        <v>11</v>
      </c>
      <c r="E213" s="4" t="str">
        <f>"PRTC"</f>
        <v>PRTC</v>
      </c>
      <c r="F213" s="4" t="s">
        <v>183</v>
      </c>
      <c r="G213" s="4">
        <v>14</v>
      </c>
      <c r="H213" s="4">
        <v>8</v>
      </c>
      <c r="I213" s="4">
        <v>22</v>
      </c>
    </row>
    <row r="214" spans="1:9" ht="15.75" thickBot="1" x14ac:dyDescent="0.3">
      <c r="A214" s="3">
        <v>885</v>
      </c>
      <c r="B214" s="3" t="str">
        <f>"19978663E"</f>
        <v>19978663E</v>
      </c>
      <c r="C214" s="5" t="s">
        <v>225</v>
      </c>
      <c r="D214" s="4" t="s">
        <v>11</v>
      </c>
      <c r="E214" s="4" t="str">
        <f>"ASTC"</f>
        <v>ASTC</v>
      </c>
      <c r="F214" s="4" t="s">
        <v>183</v>
      </c>
      <c r="G214" s="4">
        <v>8</v>
      </c>
      <c r="H214" s="4">
        <v>4</v>
      </c>
      <c r="I214" s="4">
        <v>10</v>
      </c>
    </row>
    <row r="215" spans="1:9" ht="15.75" thickBot="1" x14ac:dyDescent="0.3">
      <c r="A215" s="3">
        <v>899</v>
      </c>
      <c r="B215" s="3" t="str">
        <f>"20178669B"</f>
        <v>20178669B</v>
      </c>
      <c r="C215" s="5" t="s">
        <v>226</v>
      </c>
      <c r="D215" s="4" t="s">
        <v>11</v>
      </c>
      <c r="E215" s="4" t="str">
        <f>"AXTC"</f>
        <v>AXTC</v>
      </c>
      <c r="F215" s="4" t="s">
        <v>183</v>
      </c>
      <c r="G215" s="4">
        <v>4</v>
      </c>
      <c r="H215" s="4">
        <v>6</v>
      </c>
      <c r="I215" s="4">
        <v>0</v>
      </c>
    </row>
    <row r="216" spans="1:9" ht="15.75" thickBot="1" x14ac:dyDescent="0.3">
      <c r="A216" s="3">
        <v>908</v>
      </c>
      <c r="B216" s="3" t="str">
        <f>"19868722G"</f>
        <v>19868722G</v>
      </c>
      <c r="C216" s="5" t="s">
        <v>227</v>
      </c>
      <c r="D216" s="4" t="s">
        <v>11</v>
      </c>
      <c r="E216" s="4" t="str">
        <f>"PRTC"</f>
        <v>PRTC</v>
      </c>
      <c r="F216" s="4" t="s">
        <v>183</v>
      </c>
      <c r="G216" s="4">
        <v>24</v>
      </c>
      <c r="H216" s="4">
        <v>3</v>
      </c>
      <c r="I216" s="4">
        <v>0</v>
      </c>
    </row>
    <row r="217" spans="1:9" ht="15.75" thickBot="1" x14ac:dyDescent="0.3">
      <c r="A217" s="3">
        <v>926</v>
      </c>
      <c r="B217" s="3" t="str">
        <f>"19988716D"</f>
        <v>19988716D</v>
      </c>
      <c r="C217" s="5" t="s">
        <v>228</v>
      </c>
      <c r="D217" s="4" t="s">
        <v>11</v>
      </c>
      <c r="E217" s="4" t="str">
        <f>"AXTP"</f>
        <v>AXTP</v>
      </c>
      <c r="F217" s="4" t="s">
        <v>183</v>
      </c>
      <c r="G217" s="4">
        <v>23</v>
      </c>
      <c r="H217" s="4">
        <v>7</v>
      </c>
      <c r="I217" s="4">
        <v>17</v>
      </c>
    </row>
    <row r="218" spans="1:9" ht="15.75" thickBot="1" x14ac:dyDescent="0.3">
      <c r="A218" s="3">
        <v>936</v>
      </c>
      <c r="B218" s="3" t="str">
        <f>"20208696B"</f>
        <v>20208696B</v>
      </c>
      <c r="C218" s="5" t="s">
        <v>229</v>
      </c>
      <c r="D218" s="4" t="s">
        <v>11</v>
      </c>
      <c r="E218" s="4" t="str">
        <f>"AXTC"</f>
        <v>AXTC</v>
      </c>
      <c r="F218" s="4" t="s">
        <v>183</v>
      </c>
      <c r="G218" s="4">
        <v>4</v>
      </c>
      <c r="H218" s="4">
        <v>6</v>
      </c>
      <c r="I218" s="4">
        <v>0</v>
      </c>
    </row>
    <row r="219" spans="1:9" ht="15.75" thickBot="1" x14ac:dyDescent="0.3">
      <c r="A219" s="3">
        <v>958</v>
      </c>
      <c r="B219" s="3" t="str">
        <f>"20098713E"</f>
        <v>20098713E</v>
      </c>
      <c r="C219" s="5" t="s">
        <v>230</v>
      </c>
      <c r="D219" s="4" t="s">
        <v>11</v>
      </c>
      <c r="E219" s="4" t="str">
        <f>"AXTC"</f>
        <v>AXTC</v>
      </c>
      <c r="F219" s="4" t="s">
        <v>183</v>
      </c>
      <c r="G219" s="4">
        <v>16</v>
      </c>
      <c r="H219" s="4">
        <v>3</v>
      </c>
      <c r="I219" s="4">
        <v>21</v>
      </c>
    </row>
    <row r="220" spans="1:9" ht="15.75" thickBot="1" x14ac:dyDescent="0.3">
      <c r="A220" s="3">
        <v>980</v>
      </c>
      <c r="B220" s="3" t="str">
        <f>"19948761I"</f>
        <v>19948761I</v>
      </c>
      <c r="C220" s="5" t="s">
        <v>231</v>
      </c>
      <c r="D220" s="4" t="s">
        <v>11</v>
      </c>
      <c r="E220" s="4" t="str">
        <f>"ASTC"</f>
        <v>ASTC</v>
      </c>
      <c r="F220" s="4" t="s">
        <v>183</v>
      </c>
      <c r="G220" s="4">
        <v>24</v>
      </c>
      <c r="H220" s="4">
        <v>1</v>
      </c>
      <c r="I220" s="4">
        <v>0</v>
      </c>
    </row>
    <row r="221" spans="1:9" ht="15.75" thickBot="1" x14ac:dyDescent="0.3">
      <c r="A221" s="3">
        <v>988</v>
      </c>
      <c r="B221" s="3" t="str">
        <f>"19858765E"</f>
        <v>19858765E</v>
      </c>
      <c r="C221" s="5" t="s">
        <v>232</v>
      </c>
      <c r="D221" s="4" t="s">
        <v>11</v>
      </c>
      <c r="E221" s="4" t="str">
        <f>"ASTC"</f>
        <v>ASTC</v>
      </c>
      <c r="F221" s="4" t="s">
        <v>183</v>
      </c>
      <c r="G221" s="4">
        <v>30</v>
      </c>
      <c r="H221" s="4">
        <v>10</v>
      </c>
      <c r="I221" s="4">
        <v>8</v>
      </c>
    </row>
    <row r="222" spans="1:9" ht="15.75" thickBot="1" x14ac:dyDescent="0.3">
      <c r="A222" s="3">
        <v>1023</v>
      </c>
      <c r="B222" s="3" t="str">
        <f>"20168801E"</f>
        <v>20168801E</v>
      </c>
      <c r="C222" s="5" t="s">
        <v>233</v>
      </c>
      <c r="D222" s="4" t="s">
        <v>11</v>
      </c>
      <c r="E222" s="4" t="str">
        <f>"AXTP"</f>
        <v>AXTP</v>
      </c>
      <c r="F222" s="4" t="s">
        <v>183</v>
      </c>
      <c r="G222" s="4">
        <v>4</v>
      </c>
      <c r="H222" s="4">
        <v>6</v>
      </c>
      <c r="I222" s="4">
        <v>0</v>
      </c>
    </row>
    <row r="223" spans="1:9" ht="15.75" thickBot="1" x14ac:dyDescent="0.3">
      <c r="A223" s="3">
        <v>1035</v>
      </c>
      <c r="B223" s="3" t="str">
        <f>"19908821K"</f>
        <v>19908821K</v>
      </c>
      <c r="C223" s="5" t="s">
        <v>234</v>
      </c>
      <c r="D223" s="4" t="s">
        <v>11</v>
      </c>
      <c r="E223" s="4" t="str">
        <f>"PRTC"</f>
        <v>PRTC</v>
      </c>
      <c r="F223" s="4" t="s">
        <v>183</v>
      </c>
      <c r="G223" s="4">
        <v>15</v>
      </c>
      <c r="H223" s="4">
        <v>5</v>
      </c>
      <c r="I223" s="4">
        <v>12</v>
      </c>
    </row>
    <row r="224" spans="1:9" ht="15.75" thickBot="1" x14ac:dyDescent="0.3">
      <c r="A224" s="3">
        <v>1043</v>
      </c>
      <c r="B224" s="3" t="str">
        <f>"19848828D"</f>
        <v>19848828D</v>
      </c>
      <c r="C224" s="5" t="s">
        <v>235</v>
      </c>
      <c r="D224" s="4" t="s">
        <v>11</v>
      </c>
      <c r="E224" s="4" t="str">
        <f>"ASTC"</f>
        <v>ASTC</v>
      </c>
      <c r="F224" s="4" t="s">
        <v>183</v>
      </c>
      <c r="G224" s="4">
        <v>32</v>
      </c>
      <c r="H224" s="4">
        <v>8</v>
      </c>
      <c r="I224" s="4">
        <v>0</v>
      </c>
    </row>
    <row r="225" spans="1:9" ht="15.75" thickBot="1" x14ac:dyDescent="0.3">
      <c r="A225" s="3">
        <v>1045</v>
      </c>
      <c r="B225" s="3" t="str">
        <f>"19818831G"</f>
        <v>19818831G</v>
      </c>
      <c r="C225" s="5" t="s">
        <v>236</v>
      </c>
      <c r="D225" s="4" t="s">
        <v>11</v>
      </c>
      <c r="E225" s="4" t="str">
        <f>"ASTC"</f>
        <v>ASTC</v>
      </c>
      <c r="F225" s="4" t="s">
        <v>183</v>
      </c>
      <c r="G225" s="4">
        <v>34</v>
      </c>
      <c r="H225" s="4">
        <v>6</v>
      </c>
      <c r="I225" s="4">
        <v>0</v>
      </c>
    </row>
    <row r="226" spans="1:9" ht="15.75" thickBot="1" x14ac:dyDescent="0.3">
      <c r="A226" s="3">
        <v>1056</v>
      </c>
      <c r="B226" s="3" t="str">
        <f>"20178821I"</f>
        <v>20178821I</v>
      </c>
      <c r="C226" s="5" t="s">
        <v>237</v>
      </c>
      <c r="D226" s="4" t="s">
        <v>11</v>
      </c>
      <c r="E226" s="4" t="str">
        <f>"AXTC"</f>
        <v>AXTC</v>
      </c>
      <c r="F226" s="4" t="s">
        <v>183</v>
      </c>
      <c r="G226" s="4">
        <v>4</v>
      </c>
      <c r="H226" s="4">
        <v>6</v>
      </c>
      <c r="I226" s="4">
        <v>0</v>
      </c>
    </row>
    <row r="227" spans="1:9" ht="15.75" thickBot="1" x14ac:dyDescent="0.3">
      <c r="A227" s="3">
        <v>1086</v>
      </c>
      <c r="B227" s="3" t="str">
        <f>"20208837E"</f>
        <v>20208837E</v>
      </c>
      <c r="C227" s="5" t="s">
        <v>238</v>
      </c>
      <c r="D227" s="4" t="s">
        <v>11</v>
      </c>
      <c r="E227" s="4" t="str">
        <f>"AXTP"</f>
        <v>AXTP</v>
      </c>
      <c r="F227" s="4" t="s">
        <v>183</v>
      </c>
      <c r="G227" s="4">
        <v>4</v>
      </c>
      <c r="H227" s="4">
        <v>6</v>
      </c>
      <c r="I227" s="4">
        <v>0</v>
      </c>
    </row>
    <row r="228" spans="1:9" ht="15.75" thickBot="1" x14ac:dyDescent="0.3">
      <c r="A228" s="3">
        <v>1091</v>
      </c>
      <c r="B228" s="3" t="str">
        <f>"19898830B"</f>
        <v>19898830B</v>
      </c>
      <c r="C228" s="5" t="s">
        <v>239</v>
      </c>
      <c r="D228" s="4" t="s">
        <v>11</v>
      </c>
      <c r="E228" s="4" t="str">
        <f>"AXTC"</f>
        <v>AXTC</v>
      </c>
      <c r="F228" s="4" t="s">
        <v>183</v>
      </c>
      <c r="G228" s="4">
        <v>23</v>
      </c>
      <c r="H228" s="4">
        <v>7</v>
      </c>
      <c r="I228" s="4">
        <v>17</v>
      </c>
    </row>
    <row r="229" spans="1:9" ht="15.75" thickBot="1" x14ac:dyDescent="0.3">
      <c r="A229" s="3">
        <v>1103</v>
      </c>
      <c r="B229" s="3" t="str">
        <f>"20068921I"</f>
        <v>20068921I</v>
      </c>
      <c r="C229" s="5" t="s">
        <v>240</v>
      </c>
      <c r="D229" s="4" t="s">
        <v>11</v>
      </c>
      <c r="E229" s="4" t="str">
        <f>"AXTP"</f>
        <v>AXTP</v>
      </c>
      <c r="F229" s="4" t="s">
        <v>183</v>
      </c>
      <c r="G229" s="4">
        <v>4</v>
      </c>
      <c r="H229" s="4">
        <v>6</v>
      </c>
      <c r="I229" s="4">
        <v>0</v>
      </c>
    </row>
    <row r="230" spans="1:9" ht="15.75" thickBot="1" x14ac:dyDescent="0.3">
      <c r="A230" s="3">
        <v>1110</v>
      </c>
      <c r="B230" s="3" t="str">
        <f>"19938921C"</f>
        <v>19938921C</v>
      </c>
      <c r="C230" s="5" t="s">
        <v>241</v>
      </c>
      <c r="D230" s="4" t="s">
        <v>11</v>
      </c>
      <c r="E230" s="4" t="str">
        <f>"AXTC"</f>
        <v>AXTC</v>
      </c>
      <c r="F230" s="4" t="s">
        <v>183</v>
      </c>
      <c r="G230" s="4">
        <v>23</v>
      </c>
      <c r="H230" s="4">
        <v>7</v>
      </c>
      <c r="I230" s="4">
        <v>17</v>
      </c>
    </row>
    <row r="231" spans="1:9" ht="15.75" thickBot="1" x14ac:dyDescent="0.3">
      <c r="A231" s="3">
        <v>1117</v>
      </c>
      <c r="B231" s="3" t="str">
        <f>"19948963K"</f>
        <v>19948963K</v>
      </c>
      <c r="C231" s="5" t="s">
        <v>242</v>
      </c>
      <c r="D231" s="4" t="s">
        <v>11</v>
      </c>
      <c r="E231" s="4" t="str">
        <f>"AXTC"</f>
        <v>AXTC</v>
      </c>
      <c r="F231" s="4" t="s">
        <v>183</v>
      </c>
      <c r="G231" s="4">
        <v>23</v>
      </c>
      <c r="H231" s="4">
        <v>7</v>
      </c>
      <c r="I231" s="4">
        <v>10</v>
      </c>
    </row>
    <row r="232" spans="1:9" ht="15.75" thickBot="1" x14ac:dyDescent="0.3">
      <c r="A232" s="3">
        <v>14</v>
      </c>
      <c r="B232" s="3" t="str">
        <f>"19938001A"</f>
        <v>19938001A</v>
      </c>
      <c r="C232" s="5" t="s">
        <v>243</v>
      </c>
      <c r="D232" s="4" t="s">
        <v>11</v>
      </c>
      <c r="E232" s="4" t="str">
        <f>"PRTC"</f>
        <v>PRTC</v>
      </c>
      <c r="F232" s="4" t="s">
        <v>244</v>
      </c>
      <c r="G232" s="4">
        <v>7</v>
      </c>
      <c r="H232" s="4">
        <v>5</v>
      </c>
      <c r="I232" s="4">
        <v>7</v>
      </c>
    </row>
    <row r="233" spans="1:9" ht="15.75" thickBot="1" x14ac:dyDescent="0.3">
      <c r="A233" s="3">
        <v>31</v>
      </c>
      <c r="B233" s="3" t="str">
        <f>"19848005H"</f>
        <v>19848005H</v>
      </c>
      <c r="C233" s="5" t="s">
        <v>245</v>
      </c>
      <c r="D233" s="4" t="s">
        <v>11</v>
      </c>
      <c r="E233" s="4" t="str">
        <f>"ASTC"</f>
        <v>ASTC</v>
      </c>
      <c r="F233" s="4" t="s">
        <v>244</v>
      </c>
      <c r="G233" s="4">
        <v>32</v>
      </c>
      <c r="H233" s="4">
        <v>8</v>
      </c>
      <c r="I233" s="4">
        <v>0</v>
      </c>
    </row>
    <row r="234" spans="1:9" ht="15.75" thickBot="1" x14ac:dyDescent="0.3">
      <c r="A234" s="3">
        <v>34</v>
      </c>
      <c r="B234" s="3" t="str">
        <f>"19718018B"</f>
        <v>19718018B</v>
      </c>
      <c r="C234" s="5" t="s">
        <v>246</v>
      </c>
      <c r="D234" s="4" t="s">
        <v>11</v>
      </c>
      <c r="E234" s="4" t="str">
        <f>"PRTC"</f>
        <v>PRTC</v>
      </c>
      <c r="F234" s="4" t="s">
        <v>244</v>
      </c>
      <c r="G234" s="4">
        <v>39</v>
      </c>
      <c r="H234" s="4">
        <v>3</v>
      </c>
      <c r="I234" s="4">
        <v>0</v>
      </c>
    </row>
    <row r="235" spans="1:9" ht="15.75" thickBot="1" x14ac:dyDescent="0.3">
      <c r="A235" s="3">
        <v>50</v>
      </c>
      <c r="B235" s="3" t="str">
        <f>"19968003B"</f>
        <v>19968003B</v>
      </c>
      <c r="C235" s="5" t="s">
        <v>247</v>
      </c>
      <c r="D235" s="4" t="s">
        <v>11</v>
      </c>
      <c r="E235" s="4" t="str">
        <f>"ASTC"</f>
        <v>ASTC</v>
      </c>
      <c r="F235" s="4" t="s">
        <v>244</v>
      </c>
      <c r="G235" s="4">
        <v>12</v>
      </c>
      <c r="H235" s="4">
        <v>8</v>
      </c>
      <c r="I235" s="4">
        <v>13</v>
      </c>
    </row>
    <row r="236" spans="1:9" ht="15.75" thickBot="1" x14ac:dyDescent="0.3">
      <c r="A236" s="3">
        <v>66</v>
      </c>
      <c r="B236" s="3" t="str">
        <f>"19858016B"</f>
        <v>19858016B</v>
      </c>
      <c r="C236" s="5" t="s">
        <v>248</v>
      </c>
      <c r="D236" s="4" t="s">
        <v>11</v>
      </c>
      <c r="E236" s="4" t="str">
        <f>"PRTC"</f>
        <v>PRTC</v>
      </c>
      <c r="F236" s="4" t="s">
        <v>244</v>
      </c>
      <c r="G236" s="4">
        <v>29</v>
      </c>
      <c r="H236" s="4">
        <v>10</v>
      </c>
      <c r="I236" s="4">
        <v>3</v>
      </c>
    </row>
    <row r="237" spans="1:9" ht="15.75" thickBot="1" x14ac:dyDescent="0.3">
      <c r="A237" s="3">
        <v>69</v>
      </c>
      <c r="B237" s="3" t="str">
        <f>"19958001G"</f>
        <v>19958001G</v>
      </c>
      <c r="C237" s="5" t="s">
        <v>249</v>
      </c>
      <c r="D237" s="4" t="s">
        <v>11</v>
      </c>
      <c r="E237" s="4" t="str">
        <f>"ASTC"</f>
        <v>ASTC</v>
      </c>
      <c r="F237" s="4" t="s">
        <v>244</v>
      </c>
      <c r="G237" s="4">
        <v>13</v>
      </c>
      <c r="H237" s="4">
        <v>2</v>
      </c>
      <c r="I237" s="4">
        <v>14</v>
      </c>
    </row>
    <row r="238" spans="1:9" ht="15.75" thickBot="1" x14ac:dyDescent="0.3">
      <c r="A238" s="3">
        <v>70</v>
      </c>
      <c r="B238" s="3" t="str">
        <f>"19768012H"</f>
        <v>19768012H</v>
      </c>
      <c r="C238" s="5" t="s">
        <v>250</v>
      </c>
      <c r="D238" s="4" t="s">
        <v>11</v>
      </c>
      <c r="E238" s="4" t="str">
        <f>"PRTC"</f>
        <v>PRTC</v>
      </c>
      <c r="F238" s="4" t="s">
        <v>244</v>
      </c>
      <c r="G238" s="4">
        <v>34</v>
      </c>
      <c r="H238" s="4">
        <v>6</v>
      </c>
      <c r="I238" s="4">
        <v>0</v>
      </c>
    </row>
    <row r="239" spans="1:9" ht="15.75" thickBot="1" x14ac:dyDescent="0.3">
      <c r="A239" s="3">
        <v>72</v>
      </c>
      <c r="B239" s="3" t="str">
        <f>"20088005H"</f>
        <v>20088005H</v>
      </c>
      <c r="C239" s="5" t="s">
        <v>251</v>
      </c>
      <c r="D239" s="4" t="s">
        <v>11</v>
      </c>
      <c r="E239" s="4" t="str">
        <f>"AXTC"</f>
        <v>AXTC</v>
      </c>
      <c r="F239" s="4" t="s">
        <v>244</v>
      </c>
      <c r="G239" s="4">
        <v>4</v>
      </c>
      <c r="H239" s="4">
        <v>6</v>
      </c>
      <c r="I239" s="4">
        <v>0</v>
      </c>
    </row>
    <row r="240" spans="1:9" ht="15.75" thickBot="1" x14ac:dyDescent="0.3">
      <c r="A240" s="3">
        <v>86</v>
      </c>
      <c r="B240" s="3" t="str">
        <f>"19978061E"</f>
        <v>19978061E</v>
      </c>
      <c r="C240" s="5" t="s">
        <v>252</v>
      </c>
      <c r="D240" s="4" t="s">
        <v>11</v>
      </c>
      <c r="E240" s="4" t="str">
        <f>"AXTC"</f>
        <v>AXTC</v>
      </c>
      <c r="F240" s="4" t="s">
        <v>244</v>
      </c>
      <c r="G240" s="4">
        <v>14</v>
      </c>
      <c r="H240" s="4">
        <v>1</v>
      </c>
      <c r="I240" s="4">
        <v>0</v>
      </c>
    </row>
    <row r="241" spans="1:9" ht="15.75" thickBot="1" x14ac:dyDescent="0.3">
      <c r="A241" s="3">
        <v>93</v>
      </c>
      <c r="B241" s="3" t="str">
        <f>"19898064H"</f>
        <v>19898064H</v>
      </c>
      <c r="C241" s="5" t="s">
        <v>253</v>
      </c>
      <c r="D241" s="4" t="s">
        <v>11</v>
      </c>
      <c r="E241" s="4" t="str">
        <f>"AXTC"</f>
        <v>AXTC</v>
      </c>
      <c r="F241" s="4" t="s">
        <v>244</v>
      </c>
      <c r="G241" s="4">
        <v>30</v>
      </c>
      <c r="H241" s="4">
        <v>7</v>
      </c>
      <c r="I241" s="4">
        <v>23</v>
      </c>
    </row>
    <row r="242" spans="1:9" ht="15.75" thickBot="1" x14ac:dyDescent="0.3">
      <c r="A242" s="3">
        <v>94</v>
      </c>
      <c r="B242" s="3" t="str">
        <f>"19978066G"</f>
        <v>19978066G</v>
      </c>
      <c r="C242" s="5" t="s">
        <v>254</v>
      </c>
      <c r="D242" s="4" t="s">
        <v>11</v>
      </c>
      <c r="E242" s="4" t="str">
        <f>"AXTC"</f>
        <v>AXTC</v>
      </c>
      <c r="F242" s="4" t="s">
        <v>244</v>
      </c>
      <c r="G242" s="4">
        <v>16</v>
      </c>
      <c r="H242" s="4">
        <v>6</v>
      </c>
      <c r="I242" s="4">
        <v>0</v>
      </c>
    </row>
    <row r="243" spans="1:9" ht="15.75" thickBot="1" x14ac:dyDescent="0.3">
      <c r="A243" s="3">
        <v>133</v>
      </c>
      <c r="B243" s="3" t="str">
        <f>"20088064D"</f>
        <v>20088064D</v>
      </c>
      <c r="C243" s="5" t="s">
        <v>255</v>
      </c>
      <c r="D243" s="4" t="s">
        <v>11</v>
      </c>
      <c r="E243" s="4" t="str">
        <f>"AXTP"</f>
        <v>AXTP</v>
      </c>
      <c r="F243" s="4" t="s">
        <v>244</v>
      </c>
      <c r="G243" s="4">
        <v>4</v>
      </c>
      <c r="H243" s="4">
        <v>6</v>
      </c>
      <c r="I243" s="4">
        <v>0</v>
      </c>
    </row>
    <row r="244" spans="1:9" ht="15.75" thickBot="1" x14ac:dyDescent="0.3">
      <c r="A244" s="3">
        <v>143</v>
      </c>
      <c r="B244" s="3" t="str">
        <f>"19938124F"</f>
        <v>19938124F</v>
      </c>
      <c r="C244" s="5" t="s">
        <v>256</v>
      </c>
      <c r="D244" s="4" t="s">
        <v>11</v>
      </c>
      <c r="E244" s="4" t="str">
        <f>"AXTC"</f>
        <v>AXTC</v>
      </c>
      <c r="F244" s="4" t="s">
        <v>244</v>
      </c>
      <c r="G244" s="4">
        <v>27</v>
      </c>
      <c r="H244" s="4">
        <v>3</v>
      </c>
      <c r="I244" s="4">
        <v>14</v>
      </c>
    </row>
    <row r="245" spans="1:9" ht="15.75" thickBot="1" x14ac:dyDescent="0.3">
      <c r="A245" s="3">
        <v>144</v>
      </c>
      <c r="B245" s="3" t="str">
        <f>"20038123G"</f>
        <v>20038123G</v>
      </c>
      <c r="C245" s="5" t="s">
        <v>257</v>
      </c>
      <c r="D245" s="4" t="s">
        <v>11</v>
      </c>
      <c r="E245" s="4" t="str">
        <f>"AXTC"</f>
        <v>AXTC</v>
      </c>
      <c r="F245" s="4" t="s">
        <v>244</v>
      </c>
      <c r="G245" s="4">
        <v>4</v>
      </c>
      <c r="H245" s="4">
        <v>6</v>
      </c>
      <c r="I245" s="4">
        <v>0</v>
      </c>
    </row>
    <row r="246" spans="1:9" ht="15.75" thickBot="1" x14ac:dyDescent="0.3">
      <c r="A246" s="3">
        <v>148</v>
      </c>
      <c r="B246" s="3" t="str">
        <f>"20008121F"</f>
        <v>20008121F</v>
      </c>
      <c r="C246" s="5" t="s">
        <v>258</v>
      </c>
      <c r="D246" s="4" t="s">
        <v>11</v>
      </c>
      <c r="E246" s="4" t="str">
        <f>"AXTP"</f>
        <v>AXTP</v>
      </c>
      <c r="F246" s="4" t="s">
        <v>244</v>
      </c>
      <c r="G246" s="4">
        <v>14</v>
      </c>
      <c r="H246" s="4">
        <v>1</v>
      </c>
      <c r="I246" s="4">
        <v>0</v>
      </c>
    </row>
    <row r="247" spans="1:9" ht="15.75" thickBot="1" x14ac:dyDescent="0.3">
      <c r="A247" s="3">
        <v>149</v>
      </c>
      <c r="B247" s="3" t="str">
        <f>"20128112D"</f>
        <v>20128112D</v>
      </c>
      <c r="C247" s="5" t="s">
        <v>259</v>
      </c>
      <c r="D247" s="4" t="s">
        <v>11</v>
      </c>
      <c r="E247" s="4" t="str">
        <f>"AXTC"</f>
        <v>AXTC</v>
      </c>
      <c r="F247" s="4" t="s">
        <v>244</v>
      </c>
      <c r="G247" s="4">
        <v>4</v>
      </c>
      <c r="H247" s="4">
        <v>6</v>
      </c>
      <c r="I247" s="4">
        <v>0</v>
      </c>
    </row>
    <row r="248" spans="1:9" ht="15.75" thickBot="1" x14ac:dyDescent="0.3">
      <c r="A248" s="3">
        <v>157</v>
      </c>
      <c r="B248" s="3" t="str">
        <f>"20008122B"</f>
        <v>20008122B</v>
      </c>
      <c r="C248" s="5" t="s">
        <v>260</v>
      </c>
      <c r="D248" s="4" t="s">
        <v>11</v>
      </c>
      <c r="E248" s="4" t="str">
        <f>"ASTC"</f>
        <v>ASTC</v>
      </c>
      <c r="F248" s="4" t="s">
        <v>244</v>
      </c>
      <c r="G248" s="4">
        <v>17</v>
      </c>
      <c r="H248" s="4">
        <v>0</v>
      </c>
      <c r="I248" s="4">
        <v>2</v>
      </c>
    </row>
    <row r="249" spans="1:9" ht="15.75" thickBot="1" x14ac:dyDescent="0.3">
      <c r="A249" s="3">
        <v>170</v>
      </c>
      <c r="B249" s="3" t="str">
        <f>"20178113D"</f>
        <v>20178113D</v>
      </c>
      <c r="C249" s="5" t="s">
        <v>261</v>
      </c>
      <c r="D249" s="4" t="s">
        <v>11</v>
      </c>
      <c r="E249" s="4" t="str">
        <f>"AXTP"</f>
        <v>AXTP</v>
      </c>
      <c r="F249" s="4" t="s">
        <v>244</v>
      </c>
      <c r="G249" s="4">
        <v>4</v>
      </c>
      <c r="H249" s="4">
        <v>6</v>
      </c>
      <c r="I249" s="4">
        <v>0</v>
      </c>
    </row>
    <row r="250" spans="1:9" ht="15.75" thickBot="1" x14ac:dyDescent="0.3">
      <c r="A250" s="3">
        <v>201</v>
      </c>
      <c r="B250" s="3" t="str">
        <f>"20168114H"</f>
        <v>20168114H</v>
      </c>
      <c r="C250" s="5" t="s">
        <v>262</v>
      </c>
      <c r="D250" s="4" t="s">
        <v>11</v>
      </c>
      <c r="E250" s="4" t="str">
        <f>"AXTP"</f>
        <v>AXTP</v>
      </c>
      <c r="F250" s="4" t="s">
        <v>244</v>
      </c>
      <c r="G250" s="4">
        <v>4</v>
      </c>
      <c r="H250" s="4">
        <v>6</v>
      </c>
      <c r="I250" s="4">
        <v>0</v>
      </c>
    </row>
    <row r="251" spans="1:9" ht="15.75" thickBot="1" x14ac:dyDescent="0.3">
      <c r="A251" s="3">
        <v>237</v>
      </c>
      <c r="B251" s="3" t="str">
        <f>"20068122I"</f>
        <v>20068122I</v>
      </c>
      <c r="C251" s="5" t="s">
        <v>263</v>
      </c>
      <c r="D251" s="4" t="s">
        <v>11</v>
      </c>
      <c r="E251" s="4" t="str">
        <f>"AXTP"</f>
        <v>AXTP</v>
      </c>
      <c r="F251" s="4" t="s">
        <v>244</v>
      </c>
      <c r="G251" s="4">
        <v>4</v>
      </c>
      <c r="H251" s="4">
        <v>6</v>
      </c>
      <c r="I251" s="4">
        <v>0</v>
      </c>
    </row>
    <row r="252" spans="1:9" ht="15.75" thickBot="1" x14ac:dyDescent="0.3">
      <c r="A252" s="3">
        <v>245</v>
      </c>
      <c r="B252" s="3" t="str">
        <f>"20188118I"</f>
        <v>20188118I</v>
      </c>
      <c r="C252" s="5" t="s">
        <v>264</v>
      </c>
      <c r="D252" s="4" t="s">
        <v>11</v>
      </c>
      <c r="E252" s="4" t="str">
        <f>"AXTP"</f>
        <v>AXTP</v>
      </c>
      <c r="F252" s="4" t="s">
        <v>244</v>
      </c>
      <c r="G252" s="4">
        <v>4</v>
      </c>
      <c r="H252" s="4">
        <v>6</v>
      </c>
      <c r="I252" s="4">
        <v>0</v>
      </c>
    </row>
    <row r="253" spans="1:9" ht="15.75" thickBot="1" x14ac:dyDescent="0.3">
      <c r="A253" s="3">
        <v>256</v>
      </c>
      <c r="B253" s="3" t="str">
        <f>"20018126K"</f>
        <v>20018126K</v>
      </c>
      <c r="C253" s="5" t="s">
        <v>265</v>
      </c>
      <c r="D253" s="4" t="s">
        <v>11</v>
      </c>
      <c r="E253" s="4" t="str">
        <f>"AXTC"</f>
        <v>AXTC</v>
      </c>
      <c r="F253" s="4" t="s">
        <v>244</v>
      </c>
      <c r="G253" s="4">
        <v>14</v>
      </c>
      <c r="H253" s="4">
        <v>1</v>
      </c>
      <c r="I253" s="4">
        <v>0</v>
      </c>
    </row>
    <row r="254" spans="1:9" ht="15.75" thickBot="1" x14ac:dyDescent="0.3">
      <c r="A254" s="3">
        <v>263</v>
      </c>
      <c r="B254" s="3" t="str">
        <f>"19828141C"</f>
        <v>19828141C</v>
      </c>
      <c r="C254" s="5" t="s">
        <v>266</v>
      </c>
      <c r="D254" s="4" t="s">
        <v>11</v>
      </c>
      <c r="E254" s="4" t="str">
        <f>"ASTC"</f>
        <v>ASTC</v>
      </c>
      <c r="F254" s="4" t="s">
        <v>244</v>
      </c>
      <c r="G254" s="4">
        <v>32</v>
      </c>
      <c r="H254" s="4">
        <v>5</v>
      </c>
      <c r="I254" s="4">
        <v>1</v>
      </c>
    </row>
    <row r="255" spans="1:9" ht="15.75" thickBot="1" x14ac:dyDescent="0.3">
      <c r="A255" s="3">
        <v>282</v>
      </c>
      <c r="B255" s="3" t="str">
        <f>"19878133D"</f>
        <v>19878133D</v>
      </c>
      <c r="C255" s="5" t="s">
        <v>267</v>
      </c>
      <c r="D255" s="4" t="s">
        <v>11</v>
      </c>
      <c r="E255" s="4" t="str">
        <f>"PRTC"</f>
        <v>PRTC</v>
      </c>
      <c r="F255" s="4" t="s">
        <v>244</v>
      </c>
      <c r="G255" s="4">
        <v>13</v>
      </c>
      <c r="H255" s="4">
        <v>2</v>
      </c>
      <c r="I255" s="4">
        <v>14</v>
      </c>
    </row>
    <row r="256" spans="1:9" ht="15.75" thickBot="1" x14ac:dyDescent="0.3">
      <c r="A256" s="3">
        <v>302</v>
      </c>
      <c r="B256" s="3" t="str">
        <f>"19788212B"</f>
        <v>19788212B</v>
      </c>
      <c r="C256" s="5" t="s">
        <v>268</v>
      </c>
      <c r="D256" s="4" t="s">
        <v>11</v>
      </c>
      <c r="E256" s="4" t="str">
        <f>"ASTC"</f>
        <v>ASTC</v>
      </c>
      <c r="F256" s="4" t="s">
        <v>244</v>
      </c>
      <c r="G256" s="4">
        <v>39</v>
      </c>
      <c r="H256" s="4">
        <v>6</v>
      </c>
      <c r="I256" s="4">
        <v>2</v>
      </c>
    </row>
    <row r="257" spans="1:9" ht="15.75" thickBot="1" x14ac:dyDescent="0.3">
      <c r="A257" s="3">
        <v>315</v>
      </c>
      <c r="B257" s="3" t="str">
        <f>"20098213B"</f>
        <v>20098213B</v>
      </c>
      <c r="C257" s="5" t="s">
        <v>269</v>
      </c>
      <c r="D257" s="4" t="s">
        <v>11</v>
      </c>
      <c r="E257" s="4" t="str">
        <f>"AXTC"</f>
        <v>AXTC</v>
      </c>
      <c r="F257" s="4" t="s">
        <v>244</v>
      </c>
      <c r="G257" s="4">
        <v>4</v>
      </c>
      <c r="H257" s="4">
        <v>6</v>
      </c>
      <c r="I257" s="4">
        <v>0</v>
      </c>
    </row>
    <row r="258" spans="1:9" ht="15.75" thickBot="1" x14ac:dyDescent="0.3">
      <c r="A258" s="3">
        <v>336</v>
      </c>
      <c r="B258" s="3" t="str">
        <f>"20128252K"</f>
        <v>20128252K</v>
      </c>
      <c r="C258" s="5" t="s">
        <v>270</v>
      </c>
      <c r="D258" s="4" t="s">
        <v>11</v>
      </c>
      <c r="E258" s="4" t="str">
        <f>"AXTC"</f>
        <v>AXTC</v>
      </c>
      <c r="F258" s="4" t="s">
        <v>244</v>
      </c>
      <c r="G258" s="4">
        <v>3</v>
      </c>
      <c r="H258" s="4">
        <v>6</v>
      </c>
      <c r="I258" s="4">
        <v>18</v>
      </c>
    </row>
    <row r="259" spans="1:9" ht="15.75" thickBot="1" x14ac:dyDescent="0.3">
      <c r="A259" s="3">
        <v>345</v>
      </c>
      <c r="B259" s="3" t="str">
        <f>"20058251K"</f>
        <v>20058251K</v>
      </c>
      <c r="C259" s="5" t="s">
        <v>271</v>
      </c>
      <c r="D259" s="4" t="s">
        <v>11</v>
      </c>
      <c r="E259" s="4" t="str">
        <f>"PRTC"</f>
        <v>PRTC</v>
      </c>
      <c r="F259" s="4" t="s">
        <v>244</v>
      </c>
      <c r="G259" s="4">
        <v>7</v>
      </c>
      <c r="H259" s="4">
        <v>11</v>
      </c>
      <c r="I259" s="4">
        <v>2</v>
      </c>
    </row>
    <row r="260" spans="1:9" ht="15.75" thickBot="1" x14ac:dyDescent="0.3">
      <c r="A260" s="3">
        <v>346</v>
      </c>
      <c r="B260" s="3" t="str">
        <f>"20228193F"</f>
        <v>20228193F</v>
      </c>
      <c r="C260" s="5" t="s">
        <v>272</v>
      </c>
      <c r="D260" s="4" t="s">
        <v>11</v>
      </c>
      <c r="E260" s="4" t="str">
        <f>"AXTC"</f>
        <v>AXTC</v>
      </c>
      <c r="F260" s="4" t="s">
        <v>244</v>
      </c>
      <c r="G260" s="4">
        <v>3</v>
      </c>
      <c r="H260" s="4">
        <v>6</v>
      </c>
      <c r="I260" s="4">
        <v>18</v>
      </c>
    </row>
    <row r="261" spans="1:9" ht="15.75" thickBot="1" x14ac:dyDescent="0.3">
      <c r="A261" s="3">
        <v>349</v>
      </c>
      <c r="B261" s="3" t="str">
        <f>"19808258B"</f>
        <v>19808258B</v>
      </c>
      <c r="C261" s="5" t="s">
        <v>273</v>
      </c>
      <c r="D261" s="4" t="s">
        <v>11</v>
      </c>
      <c r="E261" s="4" t="str">
        <f>"ASTC"</f>
        <v>ASTC</v>
      </c>
      <c r="F261" s="4" t="s">
        <v>244</v>
      </c>
      <c r="G261" s="4">
        <v>33</v>
      </c>
      <c r="H261" s="4">
        <v>2</v>
      </c>
      <c r="I261" s="4">
        <v>0</v>
      </c>
    </row>
    <row r="262" spans="1:9" ht="15.75" thickBot="1" x14ac:dyDescent="0.3">
      <c r="A262" s="3">
        <v>362</v>
      </c>
      <c r="B262" s="3" t="str">
        <f>"19828275J"</f>
        <v>19828275J</v>
      </c>
      <c r="C262" s="5" t="s">
        <v>274</v>
      </c>
      <c r="D262" s="4" t="s">
        <v>11</v>
      </c>
      <c r="E262" s="4" t="str">
        <f>"AXTC"</f>
        <v>AXTC</v>
      </c>
      <c r="F262" s="4" t="s">
        <v>244</v>
      </c>
      <c r="G262" s="4">
        <v>23</v>
      </c>
      <c r="H262" s="4">
        <v>7</v>
      </c>
      <c r="I262" s="4">
        <v>17</v>
      </c>
    </row>
    <row r="263" spans="1:9" ht="15.75" thickBot="1" x14ac:dyDescent="0.3">
      <c r="A263" s="3">
        <v>369</v>
      </c>
      <c r="B263" s="3" t="str">
        <f>"19968271G"</f>
        <v>19968271G</v>
      </c>
      <c r="C263" s="5" t="s">
        <v>275</v>
      </c>
      <c r="D263" s="4" t="s">
        <v>11</v>
      </c>
      <c r="E263" s="4" t="str">
        <f>"ASTC"</f>
        <v>ASTC</v>
      </c>
      <c r="F263" s="4" t="s">
        <v>244</v>
      </c>
      <c r="G263" s="4">
        <v>13</v>
      </c>
      <c r="H263" s="4">
        <v>2</v>
      </c>
      <c r="I263" s="4">
        <v>14</v>
      </c>
    </row>
    <row r="264" spans="1:9" ht="15.75" thickBot="1" x14ac:dyDescent="0.3">
      <c r="A264" s="3">
        <v>381</v>
      </c>
      <c r="B264" s="3" t="str">
        <f>"19838307A"</f>
        <v>19838307A</v>
      </c>
      <c r="C264" s="5" t="s">
        <v>276</v>
      </c>
      <c r="D264" s="4" t="s">
        <v>11</v>
      </c>
      <c r="E264" s="4" t="str">
        <f>"ASTC"</f>
        <v>ASTC</v>
      </c>
      <c r="F264" s="4" t="s">
        <v>244</v>
      </c>
      <c r="G264" s="4">
        <v>26</v>
      </c>
      <c r="H264" s="4">
        <v>11</v>
      </c>
      <c r="I264" s="4">
        <v>5</v>
      </c>
    </row>
    <row r="265" spans="1:9" ht="15.75" thickBot="1" x14ac:dyDescent="0.3">
      <c r="A265" s="3">
        <v>384</v>
      </c>
      <c r="B265" s="3" t="str">
        <f>"19868302H"</f>
        <v>19868302H</v>
      </c>
      <c r="C265" s="5" t="s">
        <v>277</v>
      </c>
      <c r="D265" s="4" t="s">
        <v>11</v>
      </c>
      <c r="E265" s="4" t="str">
        <f>"ASTC"</f>
        <v>ASTC</v>
      </c>
      <c r="F265" s="4" t="s">
        <v>244</v>
      </c>
      <c r="G265" s="4">
        <v>29</v>
      </c>
      <c r="H265" s="4">
        <v>10</v>
      </c>
      <c r="I265" s="4">
        <v>3</v>
      </c>
    </row>
    <row r="266" spans="1:9" ht="15.75" thickBot="1" x14ac:dyDescent="0.3">
      <c r="A266" s="3">
        <v>389</v>
      </c>
      <c r="B266" s="3" t="str">
        <f>"20148304F"</f>
        <v>20148304F</v>
      </c>
      <c r="C266" s="5" t="s">
        <v>278</v>
      </c>
      <c r="D266" s="4" t="s">
        <v>11</v>
      </c>
      <c r="E266" s="4" t="str">
        <f>"AXTC"</f>
        <v>AXTC</v>
      </c>
      <c r="F266" s="4" t="s">
        <v>244</v>
      </c>
      <c r="G266" s="4">
        <v>4</v>
      </c>
      <c r="H266" s="4">
        <v>6</v>
      </c>
      <c r="I266" s="4">
        <v>0</v>
      </c>
    </row>
    <row r="267" spans="1:9" ht="15.75" thickBot="1" x14ac:dyDescent="0.3">
      <c r="A267" s="3">
        <v>399</v>
      </c>
      <c r="B267" s="3" t="str">
        <f>"20008301D"</f>
        <v>20008301D</v>
      </c>
      <c r="C267" s="5" t="s">
        <v>279</v>
      </c>
      <c r="D267" s="4" t="s">
        <v>11</v>
      </c>
      <c r="E267" s="4" t="str">
        <f>"ASTC"</f>
        <v>ASTC</v>
      </c>
      <c r="F267" s="4" t="s">
        <v>244</v>
      </c>
      <c r="G267" s="4">
        <v>16</v>
      </c>
      <c r="H267" s="4">
        <v>7</v>
      </c>
      <c r="I267" s="4">
        <v>20</v>
      </c>
    </row>
    <row r="268" spans="1:9" ht="15.75" thickBot="1" x14ac:dyDescent="0.3">
      <c r="A268" s="3">
        <v>408</v>
      </c>
      <c r="B268" s="3" t="str">
        <f>"20018303J"</f>
        <v>20018303J</v>
      </c>
      <c r="C268" s="5" t="s">
        <v>280</v>
      </c>
      <c r="D268" s="4" t="s">
        <v>11</v>
      </c>
      <c r="E268" s="4" t="str">
        <f>"AXTC"</f>
        <v>AXTC</v>
      </c>
      <c r="F268" s="4" t="s">
        <v>244</v>
      </c>
      <c r="G268" s="4">
        <v>4</v>
      </c>
      <c r="H268" s="4">
        <v>6</v>
      </c>
      <c r="I268" s="4">
        <v>0</v>
      </c>
    </row>
    <row r="269" spans="1:9" ht="15.75" thickBot="1" x14ac:dyDescent="0.3">
      <c r="A269" s="3">
        <v>415</v>
      </c>
      <c r="B269" s="3" t="str">
        <f>"19968305I"</f>
        <v>19968305I</v>
      </c>
      <c r="C269" s="5" t="s">
        <v>281</v>
      </c>
      <c r="D269" s="4" t="s">
        <v>11</v>
      </c>
      <c r="E269" s="4" t="str">
        <f>"AXTP"</f>
        <v>AXTP</v>
      </c>
      <c r="F269" s="4" t="s">
        <v>244</v>
      </c>
      <c r="G269" s="4">
        <v>14</v>
      </c>
      <c r="H269" s="4">
        <v>1</v>
      </c>
      <c r="I269" s="4">
        <v>0</v>
      </c>
    </row>
    <row r="270" spans="1:9" ht="15.75" thickBot="1" x14ac:dyDescent="0.3">
      <c r="A270" s="3">
        <v>426</v>
      </c>
      <c r="B270" s="3" t="str">
        <f>"19878304C"</f>
        <v>19878304C</v>
      </c>
      <c r="C270" s="5" t="s">
        <v>282</v>
      </c>
      <c r="D270" s="4" t="s">
        <v>11</v>
      </c>
      <c r="E270" s="4" t="str">
        <f>"PRTC"</f>
        <v>PRTC</v>
      </c>
      <c r="F270" s="4" t="s">
        <v>244</v>
      </c>
      <c r="G270" s="4">
        <v>17</v>
      </c>
      <c r="H270" s="4">
        <v>7</v>
      </c>
      <c r="I270" s="4">
        <v>12</v>
      </c>
    </row>
    <row r="271" spans="1:9" ht="15.75" thickBot="1" x14ac:dyDescent="0.3">
      <c r="A271" s="3">
        <v>438</v>
      </c>
      <c r="B271" s="3" t="str">
        <f>"19898356I"</f>
        <v>19898356I</v>
      </c>
      <c r="C271" s="5" t="s">
        <v>283</v>
      </c>
      <c r="D271" s="4" t="s">
        <v>11</v>
      </c>
      <c r="E271" s="4" t="str">
        <f>"ASTP"</f>
        <v>ASTP</v>
      </c>
      <c r="F271" s="4" t="s">
        <v>244</v>
      </c>
      <c r="G271" s="4">
        <v>27</v>
      </c>
      <c r="H271" s="4">
        <v>0</v>
      </c>
      <c r="I271" s="4">
        <v>0</v>
      </c>
    </row>
    <row r="272" spans="1:9" ht="15.75" thickBot="1" x14ac:dyDescent="0.3">
      <c r="A272" s="3">
        <v>439</v>
      </c>
      <c r="B272" s="3" t="str">
        <f>"19828354G"</f>
        <v>19828354G</v>
      </c>
      <c r="C272" s="5" t="s">
        <v>284</v>
      </c>
      <c r="D272" s="4" t="s">
        <v>11</v>
      </c>
      <c r="E272" s="4" t="str">
        <f>"ASTC"</f>
        <v>ASTC</v>
      </c>
      <c r="F272" s="4" t="s">
        <v>244</v>
      </c>
      <c r="G272" s="4">
        <v>33</v>
      </c>
      <c r="H272" s="4">
        <v>5</v>
      </c>
      <c r="I272" s="4">
        <v>14</v>
      </c>
    </row>
    <row r="273" spans="1:9" ht="15.75" thickBot="1" x14ac:dyDescent="0.3">
      <c r="A273" s="3">
        <v>465</v>
      </c>
      <c r="B273" s="3" t="str">
        <f>"20058352A"</f>
        <v>20058352A</v>
      </c>
      <c r="C273" s="5" t="s">
        <v>285</v>
      </c>
      <c r="D273" s="4" t="s">
        <v>11</v>
      </c>
      <c r="E273" s="4" t="str">
        <f>"AXTP"</f>
        <v>AXTP</v>
      </c>
      <c r="F273" s="4" t="s">
        <v>244</v>
      </c>
      <c r="G273" s="4">
        <v>4</v>
      </c>
      <c r="H273" s="4">
        <v>6</v>
      </c>
      <c r="I273" s="4">
        <v>0</v>
      </c>
    </row>
    <row r="274" spans="1:9" ht="15.75" thickBot="1" x14ac:dyDescent="0.3">
      <c r="A274" s="3">
        <v>467</v>
      </c>
      <c r="B274" s="3" t="str">
        <f>"20208349K"</f>
        <v>20208349K</v>
      </c>
      <c r="C274" s="5" t="s">
        <v>286</v>
      </c>
      <c r="D274" s="4" t="s">
        <v>11</v>
      </c>
      <c r="E274" s="4" t="str">
        <f>"AXTC"</f>
        <v>AXTC</v>
      </c>
      <c r="F274" s="4" t="s">
        <v>244</v>
      </c>
      <c r="G274" s="4">
        <v>4</v>
      </c>
      <c r="H274" s="4">
        <v>6</v>
      </c>
      <c r="I274" s="4">
        <v>0</v>
      </c>
    </row>
    <row r="275" spans="1:9" ht="15.75" thickBot="1" x14ac:dyDescent="0.3">
      <c r="A275" s="3">
        <v>477</v>
      </c>
      <c r="B275" s="3" t="str">
        <f>"19888371E"</f>
        <v>19888371E</v>
      </c>
      <c r="C275" s="5" t="s">
        <v>287</v>
      </c>
      <c r="D275" s="4" t="s">
        <v>11</v>
      </c>
      <c r="E275" s="4" t="str">
        <f>"AXTP"</f>
        <v>AXTP</v>
      </c>
      <c r="F275" s="4" t="s">
        <v>244</v>
      </c>
      <c r="G275" s="4">
        <v>27</v>
      </c>
      <c r="H275" s="4">
        <v>0</v>
      </c>
      <c r="I275" s="4">
        <v>16</v>
      </c>
    </row>
    <row r="276" spans="1:9" ht="15.75" thickBot="1" x14ac:dyDescent="0.3">
      <c r="A276" s="3">
        <v>492</v>
      </c>
      <c r="B276" s="3" t="str">
        <f>"20008421J"</f>
        <v>20008421J</v>
      </c>
      <c r="C276" s="5" t="s">
        <v>288</v>
      </c>
      <c r="D276" s="4" t="s">
        <v>11</v>
      </c>
      <c r="E276" s="4" t="str">
        <f>"PRTC"</f>
        <v>PRTC</v>
      </c>
      <c r="F276" s="4" t="s">
        <v>244</v>
      </c>
      <c r="G276" s="4">
        <v>8</v>
      </c>
      <c r="H276" s="4">
        <v>4</v>
      </c>
      <c r="I276" s="4">
        <v>10</v>
      </c>
    </row>
    <row r="277" spans="1:9" ht="15.75" thickBot="1" x14ac:dyDescent="0.3">
      <c r="A277" s="3">
        <v>504</v>
      </c>
      <c r="B277" s="3" t="str">
        <f>"20038444H"</f>
        <v>20038444H</v>
      </c>
      <c r="C277" s="5" t="s">
        <v>289</v>
      </c>
      <c r="D277" s="4" t="s">
        <v>11</v>
      </c>
      <c r="E277" s="4" t="str">
        <f>"ASTC"</f>
        <v>ASTC</v>
      </c>
      <c r="F277" s="4" t="s">
        <v>244</v>
      </c>
      <c r="G277" s="4">
        <v>6</v>
      </c>
      <c r="H277" s="4">
        <v>4</v>
      </c>
      <c r="I277" s="4">
        <v>12</v>
      </c>
    </row>
    <row r="278" spans="1:9" ht="15.75" thickBot="1" x14ac:dyDescent="0.3">
      <c r="A278" s="3">
        <v>536</v>
      </c>
      <c r="B278" s="3" t="str">
        <f>"20168443A"</f>
        <v>20168443A</v>
      </c>
      <c r="C278" s="5" t="s">
        <v>290</v>
      </c>
      <c r="D278" s="4" t="s">
        <v>11</v>
      </c>
      <c r="E278" s="4" t="str">
        <f>"AXTP"</f>
        <v>AXTP</v>
      </c>
      <c r="F278" s="4" t="s">
        <v>244</v>
      </c>
      <c r="G278" s="4">
        <v>4</v>
      </c>
      <c r="H278" s="4">
        <v>6</v>
      </c>
      <c r="I278" s="4">
        <v>0</v>
      </c>
    </row>
    <row r="279" spans="1:9" ht="15.75" thickBot="1" x14ac:dyDescent="0.3">
      <c r="A279" s="3">
        <v>556</v>
      </c>
      <c r="B279" s="3" t="str">
        <f>"19888503I"</f>
        <v>19888503I</v>
      </c>
      <c r="C279" s="5" t="s">
        <v>291</v>
      </c>
      <c r="D279" s="4" t="s">
        <v>11</v>
      </c>
      <c r="E279" s="4" t="str">
        <f>"ASTC"</f>
        <v>ASTC</v>
      </c>
      <c r="F279" s="4" t="s">
        <v>244</v>
      </c>
      <c r="G279" s="4">
        <v>7</v>
      </c>
      <c r="H279" s="4">
        <v>5</v>
      </c>
      <c r="I279" s="4">
        <v>7</v>
      </c>
    </row>
    <row r="280" spans="1:9" ht="15.75" thickBot="1" x14ac:dyDescent="0.3">
      <c r="A280" s="3">
        <v>557</v>
      </c>
      <c r="B280" s="3" t="str">
        <f>"20068502F"</f>
        <v>20068502F</v>
      </c>
      <c r="C280" s="5" t="s">
        <v>292</v>
      </c>
      <c r="D280" s="4" t="s">
        <v>11</v>
      </c>
      <c r="E280" s="4" t="str">
        <f>"AXTP"</f>
        <v>AXTP</v>
      </c>
      <c r="F280" s="4" t="s">
        <v>244</v>
      </c>
      <c r="G280" s="4">
        <v>14</v>
      </c>
      <c r="H280" s="4">
        <v>1</v>
      </c>
      <c r="I280" s="4">
        <v>0</v>
      </c>
    </row>
    <row r="281" spans="1:9" ht="15.75" thickBot="1" x14ac:dyDescent="0.3">
      <c r="A281" s="3">
        <v>562</v>
      </c>
      <c r="B281" s="3" t="str">
        <f>"19758511A"</f>
        <v>19758511A</v>
      </c>
      <c r="C281" s="5" t="s">
        <v>293</v>
      </c>
      <c r="D281" s="4" t="s">
        <v>11</v>
      </c>
      <c r="E281" s="4" t="str">
        <f>"AXTC"</f>
        <v>AXTC</v>
      </c>
      <c r="F281" s="4" t="s">
        <v>244</v>
      </c>
      <c r="G281" s="4">
        <v>16</v>
      </c>
      <c r="H281" s="4">
        <v>3</v>
      </c>
      <c r="I281" s="4">
        <v>0</v>
      </c>
    </row>
    <row r="282" spans="1:9" ht="15.75" thickBot="1" x14ac:dyDescent="0.3">
      <c r="A282" s="3">
        <v>582</v>
      </c>
      <c r="B282" s="3" t="str">
        <f>"19978501E"</f>
        <v>19978501E</v>
      </c>
      <c r="C282" s="5" t="s">
        <v>294</v>
      </c>
      <c r="D282" s="4" t="s">
        <v>11</v>
      </c>
      <c r="E282" s="4" t="str">
        <f>"AXTC"</f>
        <v>AXTC</v>
      </c>
      <c r="F282" s="4" t="s">
        <v>244</v>
      </c>
      <c r="G282" s="4">
        <v>23</v>
      </c>
      <c r="H282" s="4">
        <v>7</v>
      </c>
      <c r="I282" s="4">
        <v>17</v>
      </c>
    </row>
    <row r="283" spans="1:9" ht="15.75" thickBot="1" x14ac:dyDescent="0.3">
      <c r="A283" s="3">
        <v>583</v>
      </c>
      <c r="B283" s="3" t="str">
        <f>"19898513G"</f>
        <v>19898513G</v>
      </c>
      <c r="C283" s="5" t="s">
        <v>295</v>
      </c>
      <c r="D283" s="4" t="s">
        <v>11</v>
      </c>
      <c r="E283" s="4" t="str">
        <f>"PRTC"</f>
        <v>PRTC</v>
      </c>
      <c r="F283" s="4" t="s">
        <v>244</v>
      </c>
      <c r="G283" s="4">
        <v>17</v>
      </c>
      <c r="H283" s="4">
        <v>2</v>
      </c>
      <c r="I283" s="4">
        <v>9</v>
      </c>
    </row>
    <row r="284" spans="1:9" ht="15.75" thickBot="1" x14ac:dyDescent="0.3">
      <c r="A284" s="3">
        <v>597</v>
      </c>
      <c r="B284" s="3" t="str">
        <f>"20228451E"</f>
        <v>20228451E</v>
      </c>
      <c r="C284" s="5" t="s">
        <v>296</v>
      </c>
      <c r="D284" s="4" t="s">
        <v>11</v>
      </c>
      <c r="E284" s="4" t="str">
        <f>"AXTP"</f>
        <v>AXTP</v>
      </c>
      <c r="F284" s="4" t="s">
        <v>244</v>
      </c>
      <c r="G284" s="4">
        <v>3</v>
      </c>
      <c r="H284" s="4">
        <v>6</v>
      </c>
      <c r="I284" s="4">
        <v>18</v>
      </c>
    </row>
    <row r="285" spans="1:9" ht="15.75" thickBot="1" x14ac:dyDescent="0.3">
      <c r="A285" s="3">
        <v>599</v>
      </c>
      <c r="B285" s="3" t="str">
        <f>"20008502J"</f>
        <v>20008502J</v>
      </c>
      <c r="C285" s="5" t="s">
        <v>297</v>
      </c>
      <c r="D285" s="4" t="s">
        <v>11</v>
      </c>
      <c r="E285" s="4" t="str">
        <f>"AXTC"</f>
        <v>AXTC</v>
      </c>
      <c r="F285" s="4" t="s">
        <v>244</v>
      </c>
      <c r="G285" s="4">
        <v>4</v>
      </c>
      <c r="H285" s="4">
        <v>6</v>
      </c>
      <c r="I285" s="4">
        <v>0</v>
      </c>
    </row>
    <row r="286" spans="1:9" ht="15.75" thickBot="1" x14ac:dyDescent="0.3">
      <c r="A286" s="3">
        <v>618</v>
      </c>
      <c r="B286" s="3" t="str">
        <f>"19908532I"</f>
        <v>19908532I</v>
      </c>
      <c r="C286" s="5" t="s">
        <v>298</v>
      </c>
      <c r="D286" s="4" t="s">
        <v>11</v>
      </c>
      <c r="E286" s="4" t="str">
        <f>"ASTC"</f>
        <v>ASTC</v>
      </c>
      <c r="F286" s="4" t="s">
        <v>244</v>
      </c>
      <c r="G286" s="4">
        <v>7</v>
      </c>
      <c r="H286" s="4">
        <v>5</v>
      </c>
      <c r="I286" s="4">
        <v>7</v>
      </c>
    </row>
    <row r="287" spans="1:9" ht="15.75" thickBot="1" x14ac:dyDescent="0.3">
      <c r="A287" s="3">
        <v>629</v>
      </c>
      <c r="B287" s="3" t="str">
        <f>"19988501H"</f>
        <v>19988501H</v>
      </c>
      <c r="C287" s="5" t="s">
        <v>299</v>
      </c>
      <c r="D287" s="4" t="s">
        <v>11</v>
      </c>
      <c r="E287" s="4" t="str">
        <f>"AXTP"</f>
        <v>AXTP</v>
      </c>
      <c r="F287" s="4" t="s">
        <v>244</v>
      </c>
      <c r="G287" s="4">
        <v>23</v>
      </c>
      <c r="H287" s="4">
        <v>7</v>
      </c>
      <c r="I287" s="4">
        <v>17</v>
      </c>
    </row>
    <row r="288" spans="1:9" ht="15.75" thickBot="1" x14ac:dyDescent="0.3">
      <c r="A288" s="3">
        <v>634</v>
      </c>
      <c r="B288" s="3" t="str">
        <f>"20068504I"</f>
        <v>20068504I</v>
      </c>
      <c r="C288" s="5" t="s">
        <v>300</v>
      </c>
      <c r="D288" s="4" t="s">
        <v>11</v>
      </c>
      <c r="E288" s="4" t="str">
        <f>"AXTC"</f>
        <v>AXTC</v>
      </c>
      <c r="F288" s="4" t="s">
        <v>244</v>
      </c>
      <c r="G288" s="4">
        <v>4</v>
      </c>
      <c r="H288" s="4">
        <v>6</v>
      </c>
      <c r="I288" s="4">
        <v>0</v>
      </c>
    </row>
    <row r="289" spans="1:9" ht="15.75" thickBot="1" x14ac:dyDescent="0.3">
      <c r="A289" s="3">
        <v>653</v>
      </c>
      <c r="B289" s="3" t="str">
        <f>"19908528A"</f>
        <v>19908528A</v>
      </c>
      <c r="C289" s="5" t="s">
        <v>301</v>
      </c>
      <c r="D289" s="4" t="s">
        <v>11</v>
      </c>
      <c r="E289" s="4" t="str">
        <f>"PRTC"</f>
        <v>PRTC</v>
      </c>
      <c r="F289" s="4" t="s">
        <v>244</v>
      </c>
      <c r="G289" s="4">
        <v>26</v>
      </c>
      <c r="H289" s="4">
        <v>11</v>
      </c>
      <c r="I289" s="4">
        <v>5</v>
      </c>
    </row>
    <row r="290" spans="1:9" ht="15.75" thickBot="1" x14ac:dyDescent="0.3">
      <c r="A290" s="3">
        <v>654</v>
      </c>
      <c r="B290" s="3" t="str">
        <f>"19958506A"</f>
        <v>19958506A</v>
      </c>
      <c r="C290" s="5" t="s">
        <v>302</v>
      </c>
      <c r="D290" s="4" t="s">
        <v>11</v>
      </c>
      <c r="E290" s="4" t="str">
        <f>"PRTC"</f>
        <v>PRTC</v>
      </c>
      <c r="F290" s="4" t="s">
        <v>244</v>
      </c>
      <c r="G290" s="4">
        <v>8</v>
      </c>
      <c r="H290" s="4">
        <v>4</v>
      </c>
      <c r="I290" s="4">
        <v>10</v>
      </c>
    </row>
    <row r="291" spans="1:9" ht="15.75" thickBot="1" x14ac:dyDescent="0.3">
      <c r="A291" s="3">
        <v>656</v>
      </c>
      <c r="B291" s="3" t="str">
        <f>"19858512J"</f>
        <v>19858512J</v>
      </c>
      <c r="C291" s="5" t="s">
        <v>303</v>
      </c>
      <c r="D291" s="4" t="s">
        <v>11</v>
      </c>
      <c r="E291" s="4" t="str">
        <f>"PRTC"</f>
        <v>PRTC</v>
      </c>
      <c r="F291" s="4" t="s">
        <v>244</v>
      </c>
      <c r="G291" s="4">
        <v>13</v>
      </c>
      <c r="H291" s="4">
        <v>2</v>
      </c>
      <c r="I291" s="4">
        <v>14</v>
      </c>
    </row>
    <row r="292" spans="1:9" ht="15.75" thickBot="1" x14ac:dyDescent="0.3">
      <c r="A292" s="3">
        <v>684</v>
      </c>
      <c r="B292" s="3" t="str">
        <f>"19918563D"</f>
        <v>19918563D</v>
      </c>
      <c r="C292" s="5" t="s">
        <v>304</v>
      </c>
      <c r="D292" s="4" t="s">
        <v>11</v>
      </c>
      <c r="E292" s="4" t="str">
        <f>"AXTC"</f>
        <v>AXTC</v>
      </c>
      <c r="F292" s="4" t="s">
        <v>244</v>
      </c>
      <c r="G292" s="4">
        <v>16</v>
      </c>
      <c r="H292" s="4">
        <v>6</v>
      </c>
      <c r="I292" s="4">
        <v>0</v>
      </c>
    </row>
    <row r="293" spans="1:9" ht="15.75" thickBot="1" x14ac:dyDescent="0.3">
      <c r="A293" s="3">
        <v>744</v>
      </c>
      <c r="B293" s="3" t="str">
        <f>"19908602G"</f>
        <v>19908602G</v>
      </c>
      <c r="C293" s="5" t="s">
        <v>305</v>
      </c>
      <c r="D293" s="4" t="s">
        <v>11</v>
      </c>
      <c r="E293" s="4" t="str">
        <f>"ASTP"</f>
        <v>ASTP</v>
      </c>
      <c r="F293" s="4" t="s">
        <v>244</v>
      </c>
      <c r="G293" s="4">
        <v>27</v>
      </c>
      <c r="H293" s="4">
        <v>10</v>
      </c>
      <c r="I293" s="4">
        <v>10</v>
      </c>
    </row>
    <row r="294" spans="1:9" ht="15.75" thickBot="1" x14ac:dyDescent="0.3">
      <c r="A294" s="3">
        <v>765</v>
      </c>
      <c r="B294" s="3" t="str">
        <f>"20228547B"</f>
        <v>20228547B</v>
      </c>
      <c r="C294" s="5" t="s">
        <v>306</v>
      </c>
      <c r="D294" s="4" t="s">
        <v>11</v>
      </c>
      <c r="E294" s="4" t="str">
        <f>"AXTC"</f>
        <v>AXTC</v>
      </c>
      <c r="F294" s="4" t="s">
        <v>244</v>
      </c>
      <c r="G294" s="4">
        <v>3</v>
      </c>
      <c r="H294" s="4">
        <v>6</v>
      </c>
      <c r="I294" s="4">
        <v>18</v>
      </c>
    </row>
    <row r="295" spans="1:9" ht="15.75" thickBot="1" x14ac:dyDescent="0.3">
      <c r="A295" s="3">
        <v>790</v>
      </c>
      <c r="B295" s="3" t="str">
        <f>"19988601B"</f>
        <v>19988601B</v>
      </c>
      <c r="C295" s="5" t="s">
        <v>307</v>
      </c>
      <c r="D295" s="4" t="s">
        <v>11</v>
      </c>
      <c r="E295" s="4" t="str">
        <f>"AXTC"</f>
        <v>AXTC</v>
      </c>
      <c r="F295" s="4" t="s">
        <v>244</v>
      </c>
      <c r="G295" s="4">
        <v>4</v>
      </c>
      <c r="H295" s="4">
        <v>6</v>
      </c>
      <c r="I295" s="4">
        <v>0</v>
      </c>
    </row>
    <row r="296" spans="1:9" ht="15.75" thickBot="1" x14ac:dyDescent="0.3">
      <c r="A296" s="3">
        <v>797</v>
      </c>
      <c r="B296" s="3" t="str">
        <f>"19848644K"</f>
        <v>19848644K</v>
      </c>
      <c r="C296" s="5" t="s">
        <v>308</v>
      </c>
      <c r="D296" s="4" t="s">
        <v>11</v>
      </c>
      <c r="E296" s="4" t="str">
        <f>"PRTC"</f>
        <v>PRTC</v>
      </c>
      <c r="F296" s="4" t="s">
        <v>244</v>
      </c>
      <c r="G296" s="4">
        <v>17</v>
      </c>
      <c r="H296" s="4">
        <v>7</v>
      </c>
      <c r="I296" s="4">
        <v>12</v>
      </c>
    </row>
    <row r="297" spans="1:9" ht="15.75" thickBot="1" x14ac:dyDescent="0.3">
      <c r="A297" s="3">
        <v>808</v>
      </c>
      <c r="B297" s="3" t="str">
        <f>"20058641C"</f>
        <v>20058641C</v>
      </c>
      <c r="C297" s="5" t="s">
        <v>309</v>
      </c>
      <c r="D297" s="4" t="s">
        <v>11</v>
      </c>
      <c r="E297" s="4" t="str">
        <f>"AXTP"</f>
        <v>AXTP</v>
      </c>
      <c r="F297" s="4" t="s">
        <v>244</v>
      </c>
      <c r="G297" s="4">
        <v>4</v>
      </c>
      <c r="H297" s="4">
        <v>6</v>
      </c>
      <c r="I297" s="4">
        <v>0</v>
      </c>
    </row>
    <row r="298" spans="1:9" ht="15.75" thickBot="1" x14ac:dyDescent="0.3">
      <c r="A298" s="3">
        <v>838</v>
      </c>
      <c r="B298" s="3" t="str">
        <f>"20048661A"</f>
        <v>20048661A</v>
      </c>
      <c r="C298" s="5" t="s">
        <v>310</v>
      </c>
      <c r="D298" s="4" t="s">
        <v>11</v>
      </c>
      <c r="E298" s="4" t="str">
        <f>"AXTC"</f>
        <v>AXTC</v>
      </c>
      <c r="F298" s="4" t="s">
        <v>244</v>
      </c>
      <c r="G298" s="4">
        <v>4</v>
      </c>
      <c r="H298" s="4">
        <v>6</v>
      </c>
      <c r="I298" s="4">
        <v>0</v>
      </c>
    </row>
    <row r="299" spans="1:9" ht="15.75" thickBot="1" x14ac:dyDescent="0.3">
      <c r="A299" s="3">
        <v>841</v>
      </c>
      <c r="B299" s="3" t="str">
        <f>"20178668F"</f>
        <v>20178668F</v>
      </c>
      <c r="C299" s="5" t="s">
        <v>311</v>
      </c>
      <c r="D299" s="4" t="s">
        <v>11</v>
      </c>
      <c r="E299" s="4" t="str">
        <f>"AXTC"</f>
        <v>AXTC</v>
      </c>
      <c r="F299" s="4" t="s">
        <v>244</v>
      </c>
      <c r="G299" s="4">
        <v>4</v>
      </c>
      <c r="H299" s="4">
        <v>6</v>
      </c>
      <c r="I299" s="4">
        <v>0</v>
      </c>
    </row>
    <row r="300" spans="1:9" ht="15.75" thickBot="1" x14ac:dyDescent="0.3">
      <c r="A300" s="3">
        <v>845</v>
      </c>
      <c r="B300" s="3" t="str">
        <f>"19898669G"</f>
        <v>19898669G</v>
      </c>
      <c r="C300" s="5" t="s">
        <v>312</v>
      </c>
      <c r="D300" s="4" t="s">
        <v>11</v>
      </c>
      <c r="E300" s="4" t="str">
        <f>"ASTC"</f>
        <v>ASTC</v>
      </c>
      <c r="F300" s="4" t="s">
        <v>244</v>
      </c>
      <c r="G300" s="4">
        <v>26</v>
      </c>
      <c r="H300" s="4">
        <v>11</v>
      </c>
      <c r="I300" s="4">
        <v>5</v>
      </c>
    </row>
    <row r="301" spans="1:9" ht="15.75" thickBot="1" x14ac:dyDescent="0.3">
      <c r="A301" s="3">
        <v>846</v>
      </c>
      <c r="B301" s="3" t="str">
        <f>"19888663F"</f>
        <v>19888663F</v>
      </c>
      <c r="C301" s="5" t="s">
        <v>313</v>
      </c>
      <c r="D301" s="4" t="s">
        <v>11</v>
      </c>
      <c r="E301" s="4" t="str">
        <f>"PRTC"</f>
        <v>PRTC</v>
      </c>
      <c r="F301" s="4" t="s">
        <v>244</v>
      </c>
      <c r="G301" s="4">
        <v>33</v>
      </c>
      <c r="H301" s="4">
        <v>6</v>
      </c>
      <c r="I301" s="4">
        <v>15</v>
      </c>
    </row>
    <row r="302" spans="1:9" ht="15.75" thickBot="1" x14ac:dyDescent="0.3">
      <c r="A302" s="3">
        <v>849</v>
      </c>
      <c r="B302" s="3" t="str">
        <f>"20088665H"</f>
        <v>20088665H</v>
      </c>
      <c r="C302" s="5" t="s">
        <v>314</v>
      </c>
      <c r="D302" s="4" t="s">
        <v>11</v>
      </c>
      <c r="E302" s="4" t="str">
        <f>"AXTP"</f>
        <v>AXTP</v>
      </c>
      <c r="F302" s="4" t="s">
        <v>244</v>
      </c>
      <c r="G302" s="4">
        <v>16</v>
      </c>
      <c r="H302" s="4">
        <v>3</v>
      </c>
      <c r="I302" s="4">
        <v>1</v>
      </c>
    </row>
    <row r="303" spans="1:9" ht="15.75" thickBot="1" x14ac:dyDescent="0.3">
      <c r="A303" s="3">
        <v>861</v>
      </c>
      <c r="B303" s="3" t="str">
        <f>"19768662B"</f>
        <v>19768662B</v>
      </c>
      <c r="C303" s="5" t="s">
        <v>315</v>
      </c>
      <c r="D303" s="4" t="s">
        <v>11</v>
      </c>
      <c r="E303" s="4" t="str">
        <f>"PRTC"</f>
        <v>PRTC</v>
      </c>
      <c r="F303" s="4" t="s">
        <v>244</v>
      </c>
      <c r="G303" s="4">
        <v>34</v>
      </c>
      <c r="H303" s="4">
        <v>6</v>
      </c>
      <c r="I303" s="4">
        <v>0</v>
      </c>
    </row>
    <row r="304" spans="1:9" ht="15.75" thickBot="1" x14ac:dyDescent="0.3">
      <c r="A304" s="3">
        <v>867</v>
      </c>
      <c r="B304" s="3" t="str">
        <f>"20018665I"</f>
        <v>20018665I</v>
      </c>
      <c r="C304" s="5" t="s">
        <v>316</v>
      </c>
      <c r="D304" s="4" t="s">
        <v>11</v>
      </c>
      <c r="E304" s="4" t="str">
        <f>"ASTC"</f>
        <v>ASTC</v>
      </c>
      <c r="F304" s="4" t="s">
        <v>244</v>
      </c>
      <c r="G304" s="4">
        <v>23</v>
      </c>
      <c r="H304" s="4">
        <v>7</v>
      </c>
      <c r="I304" s="4">
        <v>4</v>
      </c>
    </row>
    <row r="305" spans="1:9" ht="15.75" thickBot="1" x14ac:dyDescent="0.3">
      <c r="A305" s="3">
        <v>869</v>
      </c>
      <c r="B305" s="3" t="str">
        <f>"19888601K"</f>
        <v>19888601K</v>
      </c>
      <c r="C305" s="5" t="s">
        <v>317</v>
      </c>
      <c r="D305" s="4" t="s">
        <v>11</v>
      </c>
      <c r="E305" s="4" t="str">
        <f>"AXTC"</f>
        <v>AXTC</v>
      </c>
      <c r="F305" s="4" t="s">
        <v>244</v>
      </c>
      <c r="G305" s="4">
        <v>27</v>
      </c>
      <c r="H305" s="4">
        <v>3</v>
      </c>
      <c r="I305" s="4">
        <v>14</v>
      </c>
    </row>
    <row r="306" spans="1:9" ht="15.75" thickBot="1" x14ac:dyDescent="0.3">
      <c r="A306" s="3">
        <v>877</v>
      </c>
      <c r="B306" s="3" t="str">
        <f>"19908669D"</f>
        <v>19908669D</v>
      </c>
      <c r="C306" s="5" t="s">
        <v>318</v>
      </c>
      <c r="D306" s="4" t="s">
        <v>11</v>
      </c>
      <c r="E306" s="4" t="str">
        <f>"AXTC"</f>
        <v>AXTC</v>
      </c>
      <c r="F306" s="4" t="s">
        <v>244</v>
      </c>
      <c r="G306" s="4">
        <v>4</v>
      </c>
      <c r="H306" s="4">
        <v>6</v>
      </c>
      <c r="I306" s="4">
        <v>0</v>
      </c>
    </row>
    <row r="307" spans="1:9" ht="15.75" thickBot="1" x14ac:dyDescent="0.3">
      <c r="A307" s="3">
        <v>882</v>
      </c>
      <c r="B307" s="3" t="str">
        <f>"20028661F"</f>
        <v>20028661F</v>
      </c>
      <c r="C307" s="5" t="s">
        <v>319</v>
      </c>
      <c r="D307" s="4" t="s">
        <v>11</v>
      </c>
      <c r="E307" s="4" t="str">
        <f>"AXTC"</f>
        <v>AXTC</v>
      </c>
      <c r="F307" s="4" t="s">
        <v>244</v>
      </c>
      <c r="G307" s="4">
        <v>16</v>
      </c>
      <c r="H307" s="4">
        <v>6</v>
      </c>
      <c r="I307" s="4">
        <v>0</v>
      </c>
    </row>
    <row r="308" spans="1:9" ht="15.75" thickBot="1" x14ac:dyDescent="0.3">
      <c r="A308" s="3">
        <v>911</v>
      </c>
      <c r="B308" s="3" t="str">
        <f>"19828717B"</f>
        <v>19828717B</v>
      </c>
      <c r="C308" s="5" t="s">
        <v>320</v>
      </c>
      <c r="D308" s="4" t="s">
        <v>11</v>
      </c>
      <c r="E308" s="4" t="str">
        <f>"AXTP"</f>
        <v>AXTP</v>
      </c>
      <c r="F308" s="4" t="s">
        <v>244</v>
      </c>
      <c r="G308" s="4">
        <v>11</v>
      </c>
      <c r="H308" s="4">
        <v>7</v>
      </c>
      <c r="I308" s="4">
        <v>0</v>
      </c>
    </row>
    <row r="309" spans="1:9" ht="15.75" thickBot="1" x14ac:dyDescent="0.3">
      <c r="A309" s="3">
        <v>914</v>
      </c>
      <c r="B309" s="3" t="str">
        <f>"20178712E"</f>
        <v>20178712E</v>
      </c>
      <c r="C309" s="5" t="s">
        <v>321</v>
      </c>
      <c r="D309" s="4" t="s">
        <v>11</v>
      </c>
      <c r="E309" s="4" t="str">
        <f>"AXTC"</f>
        <v>AXTC</v>
      </c>
      <c r="F309" s="4" t="s">
        <v>244</v>
      </c>
      <c r="G309" s="4">
        <v>4</v>
      </c>
      <c r="H309" s="4">
        <v>6</v>
      </c>
      <c r="I309" s="4">
        <v>0</v>
      </c>
    </row>
    <row r="310" spans="1:9" ht="15.75" thickBot="1" x14ac:dyDescent="0.3">
      <c r="A310" s="3">
        <v>918</v>
      </c>
      <c r="B310" s="3" t="str">
        <f>"19958717B"</f>
        <v>19958717B</v>
      </c>
      <c r="C310" s="5" t="s">
        <v>322</v>
      </c>
      <c r="D310" s="4" t="s">
        <v>11</v>
      </c>
      <c r="E310" s="4" t="str">
        <f>"PRTC"</f>
        <v>PRTC</v>
      </c>
      <c r="F310" s="4" t="s">
        <v>244</v>
      </c>
      <c r="G310" s="4">
        <v>8</v>
      </c>
      <c r="H310" s="4">
        <v>4</v>
      </c>
      <c r="I310" s="4">
        <v>10</v>
      </c>
    </row>
    <row r="311" spans="1:9" ht="15.75" thickBot="1" x14ac:dyDescent="0.3">
      <c r="A311" s="3">
        <v>932</v>
      </c>
      <c r="B311" s="3" t="str">
        <f>"19988720A"</f>
        <v>19988720A</v>
      </c>
      <c r="C311" s="5" t="s">
        <v>323</v>
      </c>
      <c r="D311" s="4" t="s">
        <v>324</v>
      </c>
      <c r="E311" s="4" t="str">
        <f>"AXTC"</f>
        <v>AXTC</v>
      </c>
      <c r="F311" s="4" t="s">
        <v>244</v>
      </c>
      <c r="G311" s="4">
        <v>13</v>
      </c>
      <c r="H311" s="4">
        <v>9</v>
      </c>
      <c r="I311" s="4">
        <v>22</v>
      </c>
    </row>
    <row r="312" spans="1:9" ht="15.75" thickBot="1" x14ac:dyDescent="0.3">
      <c r="A312" s="3">
        <v>938</v>
      </c>
      <c r="B312" s="3" t="str">
        <f>"20158714B"</f>
        <v>20158714B</v>
      </c>
      <c r="C312" s="5" t="s">
        <v>325</v>
      </c>
      <c r="D312" s="4" t="s">
        <v>11</v>
      </c>
      <c r="E312" s="4" t="str">
        <f>"AXTP"</f>
        <v>AXTP</v>
      </c>
      <c r="F312" s="4" t="s">
        <v>244</v>
      </c>
      <c r="G312" s="4">
        <v>4</v>
      </c>
      <c r="H312" s="4">
        <v>6</v>
      </c>
      <c r="I312" s="4">
        <v>0</v>
      </c>
    </row>
    <row r="313" spans="1:9" ht="15.75" thickBot="1" x14ac:dyDescent="0.3">
      <c r="A313" s="3">
        <v>947</v>
      </c>
      <c r="B313" s="3" t="str">
        <f>"19698728J"</f>
        <v>19698728J</v>
      </c>
      <c r="C313" s="5" t="s">
        <v>326</v>
      </c>
      <c r="D313" s="4" t="s">
        <v>11</v>
      </c>
      <c r="E313" s="4" t="str">
        <f>"PRTC"</f>
        <v>PRTC</v>
      </c>
      <c r="F313" s="4" t="s">
        <v>244</v>
      </c>
      <c r="G313" s="4">
        <v>42</v>
      </c>
      <c r="H313" s="4">
        <v>4</v>
      </c>
      <c r="I313" s="4">
        <v>5</v>
      </c>
    </row>
    <row r="314" spans="1:9" ht="15.75" thickBot="1" x14ac:dyDescent="0.3">
      <c r="A314" s="3">
        <v>951</v>
      </c>
      <c r="B314" s="3" t="str">
        <f>"20228645D"</f>
        <v>20228645D</v>
      </c>
      <c r="C314" s="5" t="s">
        <v>327</v>
      </c>
      <c r="D314" s="4" t="s">
        <v>11</v>
      </c>
      <c r="E314" s="4" t="str">
        <f>"AXTC"</f>
        <v>AXTC</v>
      </c>
      <c r="F314" s="4" t="s">
        <v>244</v>
      </c>
      <c r="G314" s="4">
        <v>3</v>
      </c>
      <c r="H314" s="4">
        <v>6</v>
      </c>
      <c r="I314" s="4">
        <v>18</v>
      </c>
    </row>
    <row r="315" spans="1:9" ht="15.75" thickBot="1" x14ac:dyDescent="0.3">
      <c r="A315" s="3">
        <v>954</v>
      </c>
      <c r="B315" s="3" t="str">
        <f>"19908722B"</f>
        <v>19908722B</v>
      </c>
      <c r="C315" s="5" t="s">
        <v>328</v>
      </c>
      <c r="D315" s="4" t="s">
        <v>11</v>
      </c>
      <c r="E315" s="4" t="str">
        <f>"ASTC"</f>
        <v>ASTC</v>
      </c>
      <c r="F315" s="4" t="s">
        <v>244</v>
      </c>
      <c r="G315" s="4">
        <v>7</v>
      </c>
      <c r="H315" s="4">
        <v>5</v>
      </c>
      <c r="I315" s="4">
        <v>7</v>
      </c>
    </row>
    <row r="316" spans="1:9" ht="15.75" thickBot="1" x14ac:dyDescent="0.3">
      <c r="A316" s="3">
        <v>956</v>
      </c>
      <c r="B316" s="3" t="str">
        <f>"20198696E"</f>
        <v>20198696E</v>
      </c>
      <c r="C316" s="5" t="s">
        <v>329</v>
      </c>
      <c r="D316" s="4" t="s">
        <v>11</v>
      </c>
      <c r="E316" s="4" t="str">
        <f>"AXTC"</f>
        <v>AXTC</v>
      </c>
      <c r="F316" s="4" t="s">
        <v>244</v>
      </c>
      <c r="G316" s="4">
        <v>4</v>
      </c>
      <c r="H316" s="4">
        <v>6</v>
      </c>
      <c r="I316" s="4">
        <v>0</v>
      </c>
    </row>
    <row r="317" spans="1:9" ht="15.75" thickBot="1" x14ac:dyDescent="0.3">
      <c r="A317" s="3">
        <v>961</v>
      </c>
      <c r="B317" s="3" t="str">
        <f>"19828718I"</f>
        <v>19828718I</v>
      </c>
      <c r="C317" s="5" t="s">
        <v>330</v>
      </c>
      <c r="D317" s="4" t="s">
        <v>11</v>
      </c>
      <c r="E317" s="4" t="str">
        <f>"ASTC"</f>
        <v>ASTC</v>
      </c>
      <c r="F317" s="4" t="s">
        <v>244</v>
      </c>
      <c r="G317" s="4">
        <v>28</v>
      </c>
      <c r="H317" s="4">
        <v>6</v>
      </c>
      <c r="I317" s="4">
        <v>28</v>
      </c>
    </row>
    <row r="318" spans="1:9" ht="15.75" thickBot="1" x14ac:dyDescent="0.3">
      <c r="A318" s="3">
        <v>978</v>
      </c>
      <c r="B318" s="3" t="str">
        <f>"20168761C"</f>
        <v>20168761C</v>
      </c>
      <c r="C318" s="5" t="s">
        <v>331</v>
      </c>
      <c r="D318" s="4" t="s">
        <v>11</v>
      </c>
      <c r="E318" s="4" t="str">
        <f>"AXTP"</f>
        <v>AXTP</v>
      </c>
      <c r="F318" s="4" t="s">
        <v>244</v>
      </c>
      <c r="G318" s="4">
        <v>4</v>
      </c>
      <c r="H318" s="4">
        <v>6</v>
      </c>
      <c r="I318" s="4">
        <v>0</v>
      </c>
    </row>
    <row r="319" spans="1:9" ht="15.75" thickBot="1" x14ac:dyDescent="0.3">
      <c r="A319" s="3">
        <v>984</v>
      </c>
      <c r="B319" s="3" t="str">
        <f>"20018761H"</f>
        <v>20018761H</v>
      </c>
      <c r="C319" s="5" t="s">
        <v>332</v>
      </c>
      <c r="D319" s="4" t="s">
        <v>11</v>
      </c>
      <c r="E319" s="4" t="str">
        <f>"AXTP"</f>
        <v>AXTP</v>
      </c>
      <c r="F319" s="4" t="s">
        <v>244</v>
      </c>
      <c r="G319" s="4">
        <v>4</v>
      </c>
      <c r="H319" s="4">
        <v>3</v>
      </c>
      <c r="I319" s="4">
        <v>2</v>
      </c>
    </row>
    <row r="320" spans="1:9" ht="15.75" thickBot="1" x14ac:dyDescent="0.3">
      <c r="A320" s="3">
        <v>993</v>
      </c>
      <c r="B320" s="3" t="str">
        <f>"19908762D"</f>
        <v>19908762D</v>
      </c>
      <c r="C320" s="5" t="s">
        <v>333</v>
      </c>
      <c r="D320" s="4" t="s">
        <v>11</v>
      </c>
      <c r="E320" s="4" t="str">
        <f>"ASTC"</f>
        <v>ASTC</v>
      </c>
      <c r="F320" s="4" t="s">
        <v>244</v>
      </c>
      <c r="G320" s="4">
        <v>29</v>
      </c>
      <c r="H320" s="4">
        <v>10</v>
      </c>
      <c r="I320" s="4">
        <v>3</v>
      </c>
    </row>
    <row r="321" spans="1:9" ht="15.75" thickBot="1" x14ac:dyDescent="0.3">
      <c r="A321" s="3">
        <v>1008</v>
      </c>
      <c r="B321" s="3" t="str">
        <f>"20168764B"</f>
        <v>20168764B</v>
      </c>
      <c r="C321" s="5" t="s">
        <v>334</v>
      </c>
      <c r="D321" s="4" t="s">
        <v>11</v>
      </c>
      <c r="E321" s="4" t="str">
        <f>"AXTC"</f>
        <v>AXTC</v>
      </c>
      <c r="F321" s="4" t="s">
        <v>244</v>
      </c>
      <c r="G321" s="4">
        <v>4</v>
      </c>
      <c r="H321" s="4">
        <v>6</v>
      </c>
      <c r="I321" s="4">
        <v>0</v>
      </c>
    </row>
    <row r="322" spans="1:9" ht="15.75" thickBot="1" x14ac:dyDescent="0.3">
      <c r="A322" s="3">
        <v>1024</v>
      </c>
      <c r="B322" s="3" t="str">
        <f>"19858801A"</f>
        <v>19858801A</v>
      </c>
      <c r="C322" s="5" t="s">
        <v>335</v>
      </c>
      <c r="D322" s="4" t="s">
        <v>11</v>
      </c>
      <c r="E322" s="4" t="str">
        <f>"ASTC"</f>
        <v>ASTC</v>
      </c>
      <c r="F322" s="4" t="s">
        <v>244</v>
      </c>
      <c r="G322" s="4">
        <v>29</v>
      </c>
      <c r="H322" s="4">
        <v>10</v>
      </c>
      <c r="I322" s="4">
        <v>3</v>
      </c>
    </row>
    <row r="323" spans="1:9" ht="15.75" thickBot="1" x14ac:dyDescent="0.3">
      <c r="A323" s="3">
        <v>1028</v>
      </c>
      <c r="B323" s="3" t="str">
        <f>"19868801D"</f>
        <v>19868801D</v>
      </c>
      <c r="C323" s="5" t="s">
        <v>336</v>
      </c>
      <c r="D323" s="4" t="s">
        <v>11</v>
      </c>
      <c r="E323" s="4" t="str">
        <f>"ASTC"</f>
        <v>ASTC</v>
      </c>
      <c r="F323" s="4" t="s">
        <v>244</v>
      </c>
      <c r="G323" s="4">
        <v>29</v>
      </c>
      <c r="H323" s="4">
        <v>10</v>
      </c>
      <c r="I323" s="4">
        <v>3</v>
      </c>
    </row>
    <row r="324" spans="1:9" ht="15.75" thickBot="1" x14ac:dyDescent="0.3">
      <c r="A324" s="3">
        <v>1048</v>
      </c>
      <c r="B324" s="3" t="str">
        <f>"19698827H"</f>
        <v>19698827H</v>
      </c>
      <c r="C324" s="5" t="s">
        <v>337</v>
      </c>
      <c r="D324" s="4" t="s">
        <v>11</v>
      </c>
      <c r="E324" s="4" t="str">
        <f>"PRTC"</f>
        <v>PRTC</v>
      </c>
      <c r="F324" s="4" t="s">
        <v>244</v>
      </c>
      <c r="G324" s="4">
        <v>44</v>
      </c>
      <c r="H324" s="4">
        <v>9</v>
      </c>
      <c r="I324" s="4">
        <v>0</v>
      </c>
    </row>
    <row r="325" spans="1:9" ht="15.75" thickBot="1" x14ac:dyDescent="0.3">
      <c r="A325" s="3">
        <v>1059</v>
      </c>
      <c r="B325" s="3" t="str">
        <f>"19948823D"</f>
        <v>19948823D</v>
      </c>
      <c r="C325" s="5" t="s">
        <v>338</v>
      </c>
      <c r="D325" s="4" t="s">
        <v>11</v>
      </c>
      <c r="E325" s="4" t="str">
        <f>"AXTC"</f>
        <v>AXTC</v>
      </c>
      <c r="F325" s="4" t="s">
        <v>244</v>
      </c>
      <c r="G325" s="4">
        <v>14</v>
      </c>
      <c r="H325" s="4">
        <v>1</v>
      </c>
      <c r="I325" s="4">
        <v>0</v>
      </c>
    </row>
    <row r="326" spans="1:9" ht="15.75" thickBot="1" x14ac:dyDescent="0.3">
      <c r="A326" s="3">
        <v>1089</v>
      </c>
      <c r="B326" s="3" t="str">
        <f>"20018824J"</f>
        <v>20018824J</v>
      </c>
      <c r="C326" s="5" t="s">
        <v>339</v>
      </c>
      <c r="D326" s="4" t="s">
        <v>11</v>
      </c>
      <c r="E326" s="4" t="str">
        <f>"AXTC"</f>
        <v>AXTC</v>
      </c>
      <c r="F326" s="4" t="s">
        <v>244</v>
      </c>
      <c r="G326" s="4">
        <v>4</v>
      </c>
      <c r="H326" s="4">
        <v>6</v>
      </c>
      <c r="I326" s="4">
        <v>0</v>
      </c>
    </row>
    <row r="327" spans="1:9" ht="15.75" thickBot="1" x14ac:dyDescent="0.3">
      <c r="A327" s="3">
        <v>1121</v>
      </c>
      <c r="B327" s="3" t="str">
        <f>"19878961D"</f>
        <v>19878961D</v>
      </c>
      <c r="C327" s="5" t="s">
        <v>340</v>
      </c>
      <c r="D327" s="4" t="s">
        <v>11</v>
      </c>
      <c r="E327" s="4" t="str">
        <f>"PRTC"</f>
        <v>PRTC</v>
      </c>
      <c r="F327" s="4" t="s">
        <v>244</v>
      </c>
      <c r="G327" s="4">
        <v>17</v>
      </c>
      <c r="H327" s="4">
        <v>7</v>
      </c>
      <c r="I327" s="4">
        <v>12</v>
      </c>
    </row>
    <row r="328" spans="1:9" ht="15.75" thickBot="1" x14ac:dyDescent="0.3">
      <c r="A328" s="3">
        <v>1124</v>
      </c>
      <c r="B328" s="3" t="str">
        <f>"19978961F"</f>
        <v>19978961F</v>
      </c>
      <c r="C328" s="5" t="s">
        <v>341</v>
      </c>
      <c r="D328" s="4" t="s">
        <v>11</v>
      </c>
      <c r="E328" s="4" t="str">
        <f>"AXTC"</f>
        <v>AXTC</v>
      </c>
      <c r="F328" s="4" t="s">
        <v>244</v>
      </c>
      <c r="G328" s="4">
        <v>14</v>
      </c>
      <c r="H328" s="4">
        <v>1</v>
      </c>
      <c r="I328" s="4">
        <v>0</v>
      </c>
    </row>
    <row r="329" spans="1:9" ht="24" thickBot="1" x14ac:dyDescent="0.3">
      <c r="A329" s="3">
        <v>4</v>
      </c>
      <c r="B329" s="3" t="str">
        <f>"19908019J"</f>
        <v>19908019J</v>
      </c>
      <c r="C329" s="5" t="s">
        <v>342</v>
      </c>
      <c r="D329" s="4" t="s">
        <v>11</v>
      </c>
      <c r="E329" s="4" t="str">
        <f>"ASTC"</f>
        <v>ASTC</v>
      </c>
      <c r="F329" s="4" t="s">
        <v>343</v>
      </c>
      <c r="G329" s="4">
        <v>13</v>
      </c>
      <c r="H329" s="4">
        <v>2</v>
      </c>
      <c r="I329" s="4">
        <v>14</v>
      </c>
    </row>
    <row r="330" spans="1:9" ht="24" thickBot="1" x14ac:dyDescent="0.3">
      <c r="A330" s="3">
        <v>11</v>
      </c>
      <c r="B330" s="3" t="str">
        <f>"20008004J"</f>
        <v>20008004J</v>
      </c>
      <c r="C330" s="5" t="s">
        <v>344</v>
      </c>
      <c r="D330" s="4" t="s">
        <v>11</v>
      </c>
      <c r="E330" s="4" t="str">
        <f>"AXTC"</f>
        <v>AXTC</v>
      </c>
      <c r="F330" s="4" t="s">
        <v>343</v>
      </c>
      <c r="G330" s="4">
        <v>16</v>
      </c>
      <c r="H330" s="4">
        <v>6</v>
      </c>
      <c r="I330" s="4">
        <v>0</v>
      </c>
    </row>
    <row r="331" spans="1:9" ht="24" thickBot="1" x14ac:dyDescent="0.3">
      <c r="A331" s="3">
        <v>26</v>
      </c>
      <c r="B331" s="3" t="str">
        <f>"19828006I"</f>
        <v>19828006I</v>
      </c>
      <c r="C331" s="5" t="s">
        <v>345</v>
      </c>
      <c r="D331" s="4" t="s">
        <v>11</v>
      </c>
      <c r="E331" s="4" t="str">
        <f>"ASTC"</f>
        <v>ASTC</v>
      </c>
      <c r="F331" s="4" t="s">
        <v>343</v>
      </c>
      <c r="G331" s="4">
        <v>26</v>
      </c>
      <c r="H331" s="4">
        <v>9</v>
      </c>
      <c r="I331" s="4">
        <v>2</v>
      </c>
    </row>
    <row r="332" spans="1:9" ht="24" thickBot="1" x14ac:dyDescent="0.3">
      <c r="A332" s="3">
        <v>37</v>
      </c>
      <c r="B332" s="3" t="str">
        <f>"19878010J"</f>
        <v>19878010J</v>
      </c>
      <c r="C332" s="5" t="s">
        <v>346</v>
      </c>
      <c r="D332" s="4" t="s">
        <v>11</v>
      </c>
      <c r="E332" s="4" t="str">
        <f>"ASTP"</f>
        <v>ASTP</v>
      </c>
      <c r="F332" s="4" t="s">
        <v>343</v>
      </c>
      <c r="G332" s="4">
        <v>26</v>
      </c>
      <c r="H332" s="4">
        <v>9</v>
      </c>
      <c r="I332" s="4">
        <v>2</v>
      </c>
    </row>
    <row r="333" spans="1:9" ht="24" thickBot="1" x14ac:dyDescent="0.3">
      <c r="A333" s="3">
        <v>46</v>
      </c>
      <c r="B333" s="3" t="str">
        <f>"20038001I"</f>
        <v>20038001I</v>
      </c>
      <c r="C333" s="5" t="s">
        <v>347</v>
      </c>
      <c r="D333" s="4" t="s">
        <v>11</v>
      </c>
      <c r="E333" s="4" t="str">
        <f>"AXTP"</f>
        <v>AXTP</v>
      </c>
      <c r="F333" s="4" t="s">
        <v>343</v>
      </c>
      <c r="G333" s="4">
        <v>16</v>
      </c>
      <c r="H333" s="4">
        <v>6</v>
      </c>
      <c r="I333" s="4">
        <v>0</v>
      </c>
    </row>
    <row r="334" spans="1:9" ht="24" thickBot="1" x14ac:dyDescent="0.3">
      <c r="A334" s="3">
        <v>53</v>
      </c>
      <c r="B334" s="3" t="str">
        <f>"19778020C"</f>
        <v>19778020C</v>
      </c>
      <c r="C334" s="5" t="s">
        <v>348</v>
      </c>
      <c r="D334" s="4" t="s">
        <v>11</v>
      </c>
      <c r="E334" s="4" t="str">
        <f>"ASTC"</f>
        <v>ASTC</v>
      </c>
      <c r="F334" s="4" t="s">
        <v>343</v>
      </c>
      <c r="G334" s="4">
        <v>19</v>
      </c>
      <c r="H334" s="4">
        <v>10</v>
      </c>
      <c r="I334" s="4">
        <v>8</v>
      </c>
    </row>
    <row r="335" spans="1:9" ht="24" thickBot="1" x14ac:dyDescent="0.3">
      <c r="A335" s="3">
        <v>80</v>
      </c>
      <c r="B335" s="3" t="str">
        <f>"19738066B"</f>
        <v>19738066B</v>
      </c>
      <c r="C335" s="5" t="s">
        <v>349</v>
      </c>
      <c r="D335" s="4" t="s">
        <v>11</v>
      </c>
      <c r="E335" s="4" t="str">
        <f>"PRTP"</f>
        <v>PRTP</v>
      </c>
      <c r="F335" s="4" t="s">
        <v>343</v>
      </c>
      <c r="G335" s="4">
        <v>32</v>
      </c>
      <c r="H335" s="4">
        <v>7</v>
      </c>
      <c r="I335" s="4">
        <v>19</v>
      </c>
    </row>
    <row r="336" spans="1:9" ht="24" thickBot="1" x14ac:dyDescent="0.3">
      <c r="A336" s="3">
        <v>108</v>
      </c>
      <c r="B336" s="3" t="str">
        <f>"19938063G"</f>
        <v>19938063G</v>
      </c>
      <c r="C336" s="5" t="s">
        <v>350</v>
      </c>
      <c r="D336" s="4" t="s">
        <v>11</v>
      </c>
      <c r="E336" s="4" t="str">
        <f>"ASTC"</f>
        <v>ASTC</v>
      </c>
      <c r="F336" s="4" t="s">
        <v>343</v>
      </c>
      <c r="G336" s="4">
        <v>6</v>
      </c>
      <c r="H336" s="4">
        <v>4</v>
      </c>
      <c r="I336" s="4">
        <v>12</v>
      </c>
    </row>
    <row r="337" spans="1:9" ht="24" thickBot="1" x14ac:dyDescent="0.3">
      <c r="A337" s="3">
        <v>115</v>
      </c>
      <c r="B337" s="3" t="str">
        <f>"20178063G"</f>
        <v>20178063G</v>
      </c>
      <c r="C337" s="5" t="s">
        <v>351</v>
      </c>
      <c r="D337" s="4" t="s">
        <v>11</v>
      </c>
      <c r="E337" s="4" t="str">
        <f>"AXTC"</f>
        <v>AXTC</v>
      </c>
      <c r="F337" s="4" t="s">
        <v>343</v>
      </c>
      <c r="G337" s="4">
        <v>4</v>
      </c>
      <c r="H337" s="4">
        <v>6</v>
      </c>
      <c r="I337" s="4">
        <v>0</v>
      </c>
    </row>
    <row r="338" spans="1:9" ht="24" thickBot="1" x14ac:dyDescent="0.3">
      <c r="A338" s="3">
        <v>117</v>
      </c>
      <c r="B338" s="3" t="str">
        <f>"20128061K"</f>
        <v>20128061K</v>
      </c>
      <c r="C338" s="5" t="s">
        <v>352</v>
      </c>
      <c r="D338" s="4" t="s">
        <v>11</v>
      </c>
      <c r="E338" s="4" t="str">
        <f>"AXTC"</f>
        <v>AXTC</v>
      </c>
      <c r="F338" s="4" t="s">
        <v>343</v>
      </c>
      <c r="G338" s="4">
        <v>3</v>
      </c>
      <c r="H338" s="4">
        <v>5</v>
      </c>
      <c r="I338" s="4">
        <v>17</v>
      </c>
    </row>
    <row r="339" spans="1:9" ht="24" thickBot="1" x14ac:dyDescent="0.3">
      <c r="A339" s="3">
        <v>121</v>
      </c>
      <c r="B339" s="3" t="str">
        <f>"19948069H"</f>
        <v>19948069H</v>
      </c>
      <c r="C339" s="5" t="s">
        <v>353</v>
      </c>
      <c r="D339" s="4" t="s">
        <v>11</v>
      </c>
      <c r="E339" s="4" t="str">
        <f>"ASTC"</f>
        <v>ASTC</v>
      </c>
      <c r="F339" s="4" t="s">
        <v>343</v>
      </c>
      <c r="G339" s="4">
        <v>7</v>
      </c>
      <c r="H339" s="4">
        <v>3</v>
      </c>
      <c r="I339" s="4">
        <v>11</v>
      </c>
    </row>
    <row r="340" spans="1:9" ht="24" thickBot="1" x14ac:dyDescent="0.3">
      <c r="A340" s="3">
        <v>123</v>
      </c>
      <c r="B340" s="3" t="str">
        <f>"20228066D"</f>
        <v>20228066D</v>
      </c>
      <c r="C340" s="5" t="s">
        <v>354</v>
      </c>
      <c r="D340" s="4" t="s">
        <v>324</v>
      </c>
      <c r="E340" s="4" t="str">
        <f>"AXTP"</f>
        <v>AXTP</v>
      </c>
      <c r="F340" s="4" t="s">
        <v>343</v>
      </c>
      <c r="G340" s="4">
        <v>3</v>
      </c>
      <c r="H340" s="4">
        <v>0</v>
      </c>
      <c r="I340" s="4">
        <v>29</v>
      </c>
    </row>
    <row r="341" spans="1:9" ht="24" thickBot="1" x14ac:dyDescent="0.3">
      <c r="A341" s="3">
        <v>127</v>
      </c>
      <c r="B341" s="3" t="str">
        <f>"20068063B"</f>
        <v>20068063B</v>
      </c>
      <c r="C341" s="5" t="s">
        <v>355</v>
      </c>
      <c r="D341" s="4" t="s">
        <v>11</v>
      </c>
      <c r="E341" s="4" t="str">
        <f>"ASTP"</f>
        <v>ASTP</v>
      </c>
      <c r="F341" s="4" t="s">
        <v>343</v>
      </c>
      <c r="G341" s="4">
        <v>13</v>
      </c>
      <c r="H341" s="4">
        <v>2</v>
      </c>
      <c r="I341" s="4">
        <v>14</v>
      </c>
    </row>
    <row r="342" spans="1:9" ht="24" thickBot="1" x14ac:dyDescent="0.3">
      <c r="A342" s="3">
        <v>131</v>
      </c>
      <c r="B342" s="3" t="str">
        <f>"20228065H"</f>
        <v>20228065H</v>
      </c>
      <c r="C342" s="5" t="s">
        <v>356</v>
      </c>
      <c r="D342" s="4" t="s">
        <v>11</v>
      </c>
      <c r="E342" s="4" t="str">
        <f>"AXTC"</f>
        <v>AXTC</v>
      </c>
      <c r="F342" s="4" t="s">
        <v>343</v>
      </c>
      <c r="G342" s="4">
        <v>3</v>
      </c>
      <c r="H342" s="4">
        <v>6</v>
      </c>
      <c r="I342" s="4">
        <v>18</v>
      </c>
    </row>
    <row r="343" spans="1:9" ht="24" thickBot="1" x14ac:dyDescent="0.3">
      <c r="A343" s="3">
        <v>136</v>
      </c>
      <c r="B343" s="3" t="str">
        <f>"20178119B"</f>
        <v>20178119B</v>
      </c>
      <c r="C343" s="5" t="s">
        <v>357</v>
      </c>
      <c r="D343" s="4" t="s">
        <v>11</v>
      </c>
      <c r="E343" s="4" t="str">
        <f>"AXTP"</f>
        <v>AXTP</v>
      </c>
      <c r="F343" s="4" t="s">
        <v>343</v>
      </c>
      <c r="G343" s="4">
        <v>4</v>
      </c>
      <c r="H343" s="4">
        <v>6</v>
      </c>
      <c r="I343" s="4">
        <v>0</v>
      </c>
    </row>
    <row r="344" spans="1:9" ht="24" thickBot="1" x14ac:dyDescent="0.3">
      <c r="A344" s="3">
        <v>145</v>
      </c>
      <c r="B344" s="3" t="str">
        <f>"19808308J"</f>
        <v>19808308J</v>
      </c>
      <c r="C344" s="5" t="s">
        <v>358</v>
      </c>
      <c r="D344" s="4" t="s">
        <v>11</v>
      </c>
      <c r="E344" s="4" t="str">
        <f>"PRTC"</f>
        <v>PRTC</v>
      </c>
      <c r="F344" s="4" t="s">
        <v>343</v>
      </c>
      <c r="G344" s="4">
        <v>32</v>
      </c>
      <c r="H344" s="4">
        <v>6</v>
      </c>
      <c r="I344" s="4">
        <v>0</v>
      </c>
    </row>
    <row r="345" spans="1:9" ht="24" thickBot="1" x14ac:dyDescent="0.3">
      <c r="A345" s="3">
        <v>150</v>
      </c>
      <c r="B345" s="3" t="str">
        <f>"20178120K"</f>
        <v>20178120K</v>
      </c>
      <c r="C345" s="5" t="s">
        <v>359</v>
      </c>
      <c r="D345" s="4" t="s">
        <v>11</v>
      </c>
      <c r="E345" s="4" t="str">
        <f>"AXTP"</f>
        <v>AXTP</v>
      </c>
      <c r="F345" s="4" t="s">
        <v>343</v>
      </c>
      <c r="G345" s="4">
        <v>4</v>
      </c>
      <c r="H345" s="4">
        <v>6</v>
      </c>
      <c r="I345" s="4">
        <v>0</v>
      </c>
    </row>
    <row r="346" spans="1:9" ht="24" thickBot="1" x14ac:dyDescent="0.3">
      <c r="A346" s="3">
        <v>153</v>
      </c>
      <c r="B346" s="3" t="str">
        <f>"19858315J"</f>
        <v>19858315J</v>
      </c>
      <c r="C346" s="5" t="s">
        <v>360</v>
      </c>
      <c r="D346" s="4" t="s">
        <v>11</v>
      </c>
      <c r="E346" s="4" t="str">
        <f>"ASTP"</f>
        <v>ASTP</v>
      </c>
      <c r="F346" s="4" t="s">
        <v>343</v>
      </c>
      <c r="G346" s="4">
        <v>23</v>
      </c>
      <c r="H346" s="4">
        <v>7</v>
      </c>
      <c r="I346" s="4">
        <v>17</v>
      </c>
    </row>
    <row r="347" spans="1:9" ht="24" thickBot="1" x14ac:dyDescent="0.3">
      <c r="A347" s="3">
        <v>156</v>
      </c>
      <c r="B347" s="3" t="str">
        <f>"20178121G"</f>
        <v>20178121G</v>
      </c>
      <c r="C347" s="5" t="s">
        <v>361</v>
      </c>
      <c r="D347" s="4" t="s">
        <v>11</v>
      </c>
      <c r="E347" s="4" t="str">
        <f>"AXTP"</f>
        <v>AXTP</v>
      </c>
      <c r="F347" s="4" t="s">
        <v>343</v>
      </c>
      <c r="G347" s="4">
        <v>4</v>
      </c>
      <c r="H347" s="4">
        <v>6</v>
      </c>
      <c r="I347" s="4">
        <v>0</v>
      </c>
    </row>
    <row r="348" spans="1:9" ht="24" thickBot="1" x14ac:dyDescent="0.3">
      <c r="A348" s="3">
        <v>160</v>
      </c>
      <c r="B348" s="3" t="str">
        <f>"20038121D"</f>
        <v>20038121D</v>
      </c>
      <c r="C348" s="5" t="s">
        <v>362</v>
      </c>
      <c r="D348" s="4" t="s">
        <v>11</v>
      </c>
      <c r="E348" s="4" t="str">
        <f>"ASTP"</f>
        <v>ASTP</v>
      </c>
      <c r="F348" s="4" t="s">
        <v>343</v>
      </c>
      <c r="G348" s="4">
        <v>13</v>
      </c>
      <c r="H348" s="4">
        <v>2</v>
      </c>
      <c r="I348" s="4">
        <v>14</v>
      </c>
    </row>
    <row r="349" spans="1:9" ht="24" thickBot="1" x14ac:dyDescent="0.3">
      <c r="A349" s="3">
        <v>165</v>
      </c>
      <c r="B349" s="3" t="str">
        <f>"19938131B"</f>
        <v>19938131B</v>
      </c>
      <c r="C349" s="5" t="s">
        <v>363</v>
      </c>
      <c r="D349" s="4" t="s">
        <v>11</v>
      </c>
      <c r="E349" s="4" t="str">
        <f>"PRTC"</f>
        <v>PRTC</v>
      </c>
      <c r="F349" s="4" t="s">
        <v>343</v>
      </c>
      <c r="G349" s="4">
        <v>13</v>
      </c>
      <c r="H349" s="4">
        <v>2</v>
      </c>
      <c r="I349" s="4">
        <v>14</v>
      </c>
    </row>
    <row r="350" spans="1:9" ht="24" thickBot="1" x14ac:dyDescent="0.3">
      <c r="A350" s="3">
        <v>206</v>
      </c>
      <c r="B350" s="3" t="str">
        <f>"19908127G"</f>
        <v>19908127G</v>
      </c>
      <c r="C350" s="5" t="s">
        <v>364</v>
      </c>
      <c r="D350" s="4" t="s">
        <v>11</v>
      </c>
      <c r="E350" s="4" t="str">
        <f>"ASTC"</f>
        <v>ASTC</v>
      </c>
      <c r="F350" s="4" t="s">
        <v>343</v>
      </c>
      <c r="G350" s="4">
        <v>7</v>
      </c>
      <c r="H350" s="4">
        <v>3</v>
      </c>
      <c r="I350" s="4">
        <v>11</v>
      </c>
    </row>
    <row r="351" spans="1:9" ht="24" thickBot="1" x14ac:dyDescent="0.3">
      <c r="A351" s="3">
        <v>207</v>
      </c>
      <c r="B351" s="3" t="str">
        <f>"20148111C"</f>
        <v>20148111C</v>
      </c>
      <c r="C351" s="5" t="s">
        <v>365</v>
      </c>
      <c r="D351" s="4" t="s">
        <v>11</v>
      </c>
      <c r="E351" s="4" t="str">
        <f>"AXTC"</f>
        <v>AXTC</v>
      </c>
      <c r="F351" s="4" t="s">
        <v>343</v>
      </c>
      <c r="G351" s="4">
        <v>4</v>
      </c>
      <c r="H351" s="4">
        <v>6</v>
      </c>
      <c r="I351" s="4">
        <v>0</v>
      </c>
    </row>
    <row r="352" spans="1:9" ht="24" thickBot="1" x14ac:dyDescent="0.3">
      <c r="A352" s="3">
        <v>215</v>
      </c>
      <c r="B352" s="3" t="str">
        <f>"19938129H"</f>
        <v>19938129H</v>
      </c>
      <c r="C352" s="5" t="s">
        <v>366</v>
      </c>
      <c r="D352" s="4" t="s">
        <v>11</v>
      </c>
      <c r="E352" s="4" t="str">
        <f>"AXTC"</f>
        <v>AXTC</v>
      </c>
      <c r="F352" s="4" t="s">
        <v>343</v>
      </c>
      <c r="G352" s="4">
        <v>23</v>
      </c>
      <c r="H352" s="4">
        <v>7</v>
      </c>
      <c r="I352" s="4">
        <v>17</v>
      </c>
    </row>
    <row r="353" spans="1:9" ht="24" thickBot="1" x14ac:dyDescent="0.3">
      <c r="A353" s="3">
        <v>223</v>
      </c>
      <c r="B353" s="3" t="str">
        <f>"19958127K"</f>
        <v>19958127K</v>
      </c>
      <c r="C353" s="5" t="s">
        <v>367</v>
      </c>
      <c r="D353" s="4" t="s">
        <v>11</v>
      </c>
      <c r="E353" s="4" t="str">
        <f>"PRTC"</f>
        <v>PRTC</v>
      </c>
      <c r="F353" s="4" t="s">
        <v>343</v>
      </c>
      <c r="G353" s="4">
        <v>14</v>
      </c>
      <c r="H353" s="4">
        <v>1</v>
      </c>
      <c r="I353" s="4">
        <v>0</v>
      </c>
    </row>
    <row r="354" spans="1:9" ht="24" thickBot="1" x14ac:dyDescent="0.3">
      <c r="A354" s="3">
        <v>247</v>
      </c>
      <c r="B354" s="3" t="str">
        <f>"19878124E"</f>
        <v>19878124E</v>
      </c>
      <c r="C354" s="5" t="s">
        <v>368</v>
      </c>
      <c r="D354" s="4" t="s">
        <v>11</v>
      </c>
      <c r="E354" s="4" t="str">
        <f>"ASTP"</f>
        <v>ASTP</v>
      </c>
      <c r="F354" s="4" t="s">
        <v>343</v>
      </c>
      <c r="G354" s="4">
        <v>29</v>
      </c>
      <c r="H354" s="4">
        <v>5</v>
      </c>
      <c r="I354" s="4">
        <v>9</v>
      </c>
    </row>
    <row r="355" spans="1:9" ht="24" thickBot="1" x14ac:dyDescent="0.3">
      <c r="A355" s="3">
        <v>265</v>
      </c>
      <c r="B355" s="3" t="str">
        <f>"19848139D"</f>
        <v>19848139D</v>
      </c>
      <c r="C355" s="5" t="s">
        <v>369</v>
      </c>
      <c r="D355" s="4" t="s">
        <v>11</v>
      </c>
      <c r="E355" s="4" t="str">
        <f>"ASTC"</f>
        <v>ASTC</v>
      </c>
      <c r="F355" s="4" t="s">
        <v>343</v>
      </c>
      <c r="G355" s="4">
        <v>32</v>
      </c>
      <c r="H355" s="4">
        <v>8</v>
      </c>
      <c r="I355" s="4">
        <v>0</v>
      </c>
    </row>
    <row r="356" spans="1:9" ht="24" thickBot="1" x14ac:dyDescent="0.3">
      <c r="A356" s="3">
        <v>279</v>
      </c>
      <c r="B356" s="3" t="str">
        <f>"20028123D"</f>
        <v>20028123D</v>
      </c>
      <c r="C356" s="5" t="s">
        <v>370</v>
      </c>
      <c r="D356" s="4" t="s">
        <v>11</v>
      </c>
      <c r="E356" s="4" t="str">
        <f>"AXTC"</f>
        <v>AXTC</v>
      </c>
      <c r="F356" s="4" t="s">
        <v>343</v>
      </c>
      <c r="G356" s="4">
        <v>16</v>
      </c>
      <c r="H356" s="4">
        <v>6</v>
      </c>
      <c r="I356" s="4">
        <v>0</v>
      </c>
    </row>
    <row r="357" spans="1:9" ht="24" thickBot="1" x14ac:dyDescent="0.3">
      <c r="A357" s="3">
        <v>327</v>
      </c>
      <c r="B357" s="3" t="str">
        <f>"19858256C"</f>
        <v>19858256C</v>
      </c>
      <c r="C357" s="5" t="s">
        <v>371</v>
      </c>
      <c r="D357" s="4" t="s">
        <v>11</v>
      </c>
      <c r="E357" s="4" t="str">
        <f>"PRTC"</f>
        <v>PRTC</v>
      </c>
      <c r="F357" s="4" t="s">
        <v>343</v>
      </c>
      <c r="G357" s="4">
        <v>26</v>
      </c>
      <c r="H357" s="4">
        <v>9</v>
      </c>
      <c r="I357" s="4">
        <v>2</v>
      </c>
    </row>
    <row r="358" spans="1:9" ht="24" thickBot="1" x14ac:dyDescent="0.3">
      <c r="A358" s="3">
        <v>337</v>
      </c>
      <c r="B358" s="3" t="str">
        <f>"20218193C"</f>
        <v>20218193C</v>
      </c>
      <c r="C358" s="5" t="s">
        <v>372</v>
      </c>
      <c r="D358" s="4" t="s">
        <v>11</v>
      </c>
      <c r="E358" s="4" t="str">
        <f>"AXTC"</f>
        <v>AXTC</v>
      </c>
      <c r="F358" s="4" t="s">
        <v>343</v>
      </c>
      <c r="G358" s="4">
        <v>3</v>
      </c>
      <c r="H358" s="4">
        <v>6</v>
      </c>
      <c r="I358" s="4">
        <v>18</v>
      </c>
    </row>
    <row r="359" spans="1:9" ht="24" thickBot="1" x14ac:dyDescent="0.3">
      <c r="A359" s="3">
        <v>354</v>
      </c>
      <c r="B359" s="3" t="str">
        <f>"19818272H"</f>
        <v>19818272H</v>
      </c>
      <c r="C359" s="5" t="s">
        <v>373</v>
      </c>
      <c r="D359" s="4" t="s">
        <v>11</v>
      </c>
      <c r="E359" s="4" t="str">
        <f>"PRTC"</f>
        <v>PRTC</v>
      </c>
      <c r="F359" s="4" t="s">
        <v>343</v>
      </c>
      <c r="G359" s="4">
        <v>28</v>
      </c>
      <c r="H359" s="4">
        <v>3</v>
      </c>
      <c r="I359" s="4">
        <v>6</v>
      </c>
    </row>
    <row r="360" spans="1:9" ht="24" thickBot="1" x14ac:dyDescent="0.3">
      <c r="A360" s="3">
        <v>364</v>
      </c>
      <c r="B360" s="3" t="str">
        <f>"19998273H"</f>
        <v>19998273H</v>
      </c>
      <c r="C360" s="5" t="s">
        <v>374</v>
      </c>
      <c r="D360" s="4" t="s">
        <v>11</v>
      </c>
      <c r="E360" s="4" t="str">
        <f>"ASTP"</f>
        <v>ASTP</v>
      </c>
      <c r="F360" s="4" t="s">
        <v>343</v>
      </c>
      <c r="G360" s="4">
        <v>7</v>
      </c>
      <c r="H360" s="4">
        <v>5</v>
      </c>
      <c r="I360" s="4">
        <v>7</v>
      </c>
    </row>
    <row r="361" spans="1:9" ht="24" thickBot="1" x14ac:dyDescent="0.3">
      <c r="A361" s="3">
        <v>368</v>
      </c>
      <c r="B361" s="3" t="str">
        <f>"19798271A"</f>
        <v>19798271A</v>
      </c>
      <c r="C361" s="5" t="s">
        <v>375</v>
      </c>
      <c r="D361" s="4" t="s">
        <v>11</v>
      </c>
      <c r="E361" s="4" t="str">
        <f>"PRTC"</f>
        <v>PRTC</v>
      </c>
      <c r="F361" s="4" t="s">
        <v>343</v>
      </c>
      <c r="G361" s="4">
        <v>34</v>
      </c>
      <c r="H361" s="4">
        <v>5</v>
      </c>
      <c r="I361" s="4">
        <v>15</v>
      </c>
    </row>
    <row r="362" spans="1:9" ht="24" thickBot="1" x14ac:dyDescent="0.3">
      <c r="A362" s="3">
        <v>377</v>
      </c>
      <c r="B362" s="3" t="str">
        <f>"19948273D"</f>
        <v>19948273D</v>
      </c>
      <c r="C362" s="5" t="s">
        <v>376</v>
      </c>
      <c r="D362" s="4" t="s">
        <v>11</v>
      </c>
      <c r="E362" s="4" t="str">
        <f>"AXTC"</f>
        <v>AXTC</v>
      </c>
      <c r="F362" s="4" t="s">
        <v>343</v>
      </c>
      <c r="G362" s="4">
        <v>16</v>
      </c>
      <c r="H362" s="4">
        <v>6</v>
      </c>
      <c r="I362" s="4">
        <v>0</v>
      </c>
    </row>
    <row r="363" spans="1:9" ht="24" thickBot="1" x14ac:dyDescent="0.3">
      <c r="A363" s="3">
        <v>427</v>
      </c>
      <c r="B363" s="3" t="str">
        <f>"19798302D"</f>
        <v>19798302D</v>
      </c>
      <c r="C363" s="5" t="s">
        <v>377</v>
      </c>
      <c r="D363" s="4" t="s">
        <v>11</v>
      </c>
      <c r="E363" s="4" t="str">
        <f>"ASTP"</f>
        <v>ASTP</v>
      </c>
      <c r="F363" s="4" t="s">
        <v>343</v>
      </c>
      <c r="G363" s="4">
        <v>28</v>
      </c>
      <c r="H363" s="4">
        <v>3</v>
      </c>
      <c r="I363" s="4">
        <v>6</v>
      </c>
    </row>
    <row r="364" spans="1:9" ht="24" thickBot="1" x14ac:dyDescent="0.3">
      <c r="A364" s="3">
        <v>442</v>
      </c>
      <c r="B364" s="3" t="str">
        <f>"20078351K"</f>
        <v>20078351K</v>
      </c>
      <c r="C364" s="5" t="s">
        <v>378</v>
      </c>
      <c r="D364" s="4" t="s">
        <v>11</v>
      </c>
      <c r="E364" s="4" t="str">
        <f>"AXTP"</f>
        <v>AXTP</v>
      </c>
      <c r="F364" s="4" t="s">
        <v>343</v>
      </c>
      <c r="G364" s="4">
        <v>15</v>
      </c>
      <c r="H364" s="4">
        <v>7</v>
      </c>
      <c r="I364" s="4">
        <v>4</v>
      </c>
    </row>
    <row r="365" spans="1:9" ht="24" thickBot="1" x14ac:dyDescent="0.3">
      <c r="A365" s="3">
        <v>451</v>
      </c>
      <c r="B365" s="3" t="str">
        <f>"19838354J"</f>
        <v>19838354J</v>
      </c>
      <c r="C365" s="5" t="s">
        <v>379</v>
      </c>
      <c r="D365" s="4" t="s">
        <v>11</v>
      </c>
      <c r="E365" s="4" t="str">
        <f>"PRTC"</f>
        <v>PRTC</v>
      </c>
      <c r="F365" s="4" t="s">
        <v>343</v>
      </c>
      <c r="G365" s="4">
        <v>7</v>
      </c>
      <c r="H365" s="4">
        <v>3</v>
      </c>
      <c r="I365" s="4">
        <v>11</v>
      </c>
    </row>
    <row r="366" spans="1:9" ht="24" thickBot="1" x14ac:dyDescent="0.3">
      <c r="A366" s="3">
        <v>458</v>
      </c>
      <c r="B366" s="3" t="str">
        <f>"19898352C"</f>
        <v>19898352C</v>
      </c>
      <c r="C366" s="5" t="s">
        <v>380</v>
      </c>
      <c r="D366" s="4" t="s">
        <v>11</v>
      </c>
      <c r="E366" s="4" t="str">
        <f>"PRTC"</f>
        <v>PRTC</v>
      </c>
      <c r="F366" s="4" t="s">
        <v>343</v>
      </c>
      <c r="G366" s="4">
        <v>23</v>
      </c>
      <c r="H366" s="4">
        <v>7</v>
      </c>
      <c r="I366" s="4">
        <v>14</v>
      </c>
    </row>
    <row r="367" spans="1:9" ht="24" thickBot="1" x14ac:dyDescent="0.3">
      <c r="A367" s="3">
        <v>459</v>
      </c>
      <c r="B367" s="3" t="str">
        <f>"20178351B"</f>
        <v>20178351B</v>
      </c>
      <c r="C367" s="5" t="s">
        <v>381</v>
      </c>
      <c r="D367" s="4" t="s">
        <v>11</v>
      </c>
      <c r="E367" s="4" t="str">
        <f>"AXTC"</f>
        <v>AXTC</v>
      </c>
      <c r="F367" s="4" t="s">
        <v>343</v>
      </c>
      <c r="G367" s="4">
        <v>3</v>
      </c>
      <c r="H367" s="4">
        <v>6</v>
      </c>
      <c r="I367" s="4">
        <v>3</v>
      </c>
    </row>
    <row r="368" spans="1:9" ht="24" thickBot="1" x14ac:dyDescent="0.3">
      <c r="A368" s="3">
        <v>463</v>
      </c>
      <c r="B368" s="3" t="str">
        <f>"20078352G"</f>
        <v>20078352G</v>
      </c>
      <c r="C368" s="5" t="s">
        <v>382</v>
      </c>
      <c r="D368" s="4" t="s">
        <v>11</v>
      </c>
      <c r="E368" s="4" t="str">
        <f>"ASTP"</f>
        <v>ASTP</v>
      </c>
      <c r="F368" s="4" t="s">
        <v>343</v>
      </c>
      <c r="G368" s="4">
        <v>13</v>
      </c>
      <c r="H368" s="4">
        <v>2</v>
      </c>
      <c r="I368" s="4">
        <v>14</v>
      </c>
    </row>
    <row r="369" spans="1:9" ht="24" thickBot="1" x14ac:dyDescent="0.3">
      <c r="A369" s="3">
        <v>486</v>
      </c>
      <c r="B369" s="3" t="str">
        <f>"19728422K"</f>
        <v>19728422K</v>
      </c>
      <c r="C369" s="5" t="s">
        <v>383</v>
      </c>
      <c r="D369" s="4" t="s">
        <v>11</v>
      </c>
      <c r="E369" s="4" t="str">
        <f>"PRTC"</f>
        <v>PRTC</v>
      </c>
      <c r="F369" s="4" t="s">
        <v>343</v>
      </c>
      <c r="G369" s="4">
        <v>35</v>
      </c>
      <c r="H369" s="4">
        <v>11</v>
      </c>
      <c r="I369" s="4">
        <v>0</v>
      </c>
    </row>
    <row r="370" spans="1:9" ht="24" thickBot="1" x14ac:dyDescent="0.3">
      <c r="A370" s="3">
        <v>490</v>
      </c>
      <c r="B370" s="3" t="str">
        <f>"19768422A"</f>
        <v>19768422A</v>
      </c>
      <c r="C370" s="5" t="s">
        <v>384</v>
      </c>
      <c r="D370" s="4" t="s">
        <v>11</v>
      </c>
      <c r="E370" s="4" t="str">
        <f>"PRTC"</f>
        <v>PRTC</v>
      </c>
      <c r="F370" s="4" t="s">
        <v>343</v>
      </c>
      <c r="G370" s="4">
        <v>32</v>
      </c>
      <c r="H370" s="4">
        <v>8</v>
      </c>
      <c r="I370" s="4">
        <v>0</v>
      </c>
    </row>
    <row r="371" spans="1:9" ht="24" thickBot="1" x14ac:dyDescent="0.3">
      <c r="A371" s="3">
        <v>502</v>
      </c>
      <c r="B371" s="3" t="str">
        <f>"19778442E"</f>
        <v>19778442E</v>
      </c>
      <c r="C371" s="5" t="s">
        <v>385</v>
      </c>
      <c r="D371" s="4" t="s">
        <v>11</v>
      </c>
      <c r="E371" s="4" t="str">
        <f>"PRTC"</f>
        <v>PRTC</v>
      </c>
      <c r="F371" s="4" t="s">
        <v>343</v>
      </c>
      <c r="G371" s="4">
        <v>32</v>
      </c>
      <c r="H371" s="4">
        <v>8</v>
      </c>
      <c r="I371" s="4">
        <v>0</v>
      </c>
    </row>
    <row r="372" spans="1:9" ht="24" thickBot="1" x14ac:dyDescent="0.3">
      <c r="A372" s="3">
        <v>512</v>
      </c>
      <c r="B372" s="3" t="str">
        <f>"19888447A"</f>
        <v>19888447A</v>
      </c>
      <c r="C372" s="5" t="s">
        <v>386</v>
      </c>
      <c r="D372" s="4" t="s">
        <v>11</v>
      </c>
      <c r="E372" s="4" t="str">
        <f>"AXTC"</f>
        <v>AXTC</v>
      </c>
      <c r="F372" s="4" t="s">
        <v>343</v>
      </c>
      <c r="G372" s="4">
        <v>16</v>
      </c>
      <c r="H372" s="4">
        <v>3</v>
      </c>
      <c r="I372" s="4">
        <v>1</v>
      </c>
    </row>
    <row r="373" spans="1:9" ht="24" thickBot="1" x14ac:dyDescent="0.3">
      <c r="A373" s="3">
        <v>513</v>
      </c>
      <c r="B373" s="3" t="str">
        <f>"19858447C"</f>
        <v>19858447C</v>
      </c>
      <c r="C373" s="5" t="s">
        <v>387</v>
      </c>
      <c r="D373" s="4" t="s">
        <v>11</v>
      </c>
      <c r="E373" s="4" t="str">
        <f>"PRTC"</f>
        <v>PRTC</v>
      </c>
      <c r="F373" s="4" t="s">
        <v>343</v>
      </c>
      <c r="G373" s="4">
        <v>22</v>
      </c>
      <c r="H373" s="4">
        <v>9</v>
      </c>
      <c r="I373" s="4">
        <v>18</v>
      </c>
    </row>
    <row r="374" spans="1:9" ht="24" thickBot="1" x14ac:dyDescent="0.3">
      <c r="A374" s="3">
        <v>516</v>
      </c>
      <c r="B374" s="3" t="str">
        <f>"20168444H"</f>
        <v>20168444H</v>
      </c>
      <c r="C374" s="5" t="s">
        <v>388</v>
      </c>
      <c r="D374" s="4" t="s">
        <v>11</v>
      </c>
      <c r="E374" s="4" t="str">
        <f>"AXTC"</f>
        <v>AXTC</v>
      </c>
      <c r="F374" s="4" t="s">
        <v>343</v>
      </c>
      <c r="G374" s="4">
        <v>4</v>
      </c>
      <c r="H374" s="4">
        <v>6</v>
      </c>
      <c r="I374" s="4">
        <v>0</v>
      </c>
    </row>
    <row r="375" spans="1:9" ht="24" thickBot="1" x14ac:dyDescent="0.3">
      <c r="A375" s="3">
        <v>519</v>
      </c>
      <c r="B375" s="3" t="str">
        <f>"19858445K"</f>
        <v>19858445K</v>
      </c>
      <c r="C375" s="5" t="s">
        <v>389</v>
      </c>
      <c r="D375" s="4" t="s">
        <v>11</v>
      </c>
      <c r="E375" s="4" t="str">
        <f>"PRTC"</f>
        <v>PRTC</v>
      </c>
      <c r="F375" s="4" t="s">
        <v>343</v>
      </c>
      <c r="G375" s="4">
        <v>17</v>
      </c>
      <c r="H375" s="4">
        <v>4</v>
      </c>
      <c r="I375" s="4">
        <v>20</v>
      </c>
    </row>
    <row r="376" spans="1:9" ht="24" thickBot="1" x14ac:dyDescent="0.3">
      <c r="A376" s="3">
        <v>520</v>
      </c>
      <c r="B376" s="3" t="str">
        <f>"20018441C"</f>
        <v>20018441C</v>
      </c>
      <c r="C376" s="5" t="s">
        <v>390</v>
      </c>
      <c r="D376" s="4" t="s">
        <v>11</v>
      </c>
      <c r="E376" s="4" t="str">
        <f>"ASTP"</f>
        <v>ASTP</v>
      </c>
      <c r="F376" s="4" t="s">
        <v>343</v>
      </c>
      <c r="G376" s="4">
        <v>13</v>
      </c>
      <c r="H376" s="4">
        <v>2</v>
      </c>
      <c r="I376" s="4">
        <v>14</v>
      </c>
    </row>
    <row r="377" spans="1:9" ht="24" thickBot="1" x14ac:dyDescent="0.3">
      <c r="A377" s="3">
        <v>595</v>
      </c>
      <c r="B377" s="3" t="str">
        <f>"20038504K"</f>
        <v>20038504K</v>
      </c>
      <c r="C377" s="5" t="s">
        <v>391</v>
      </c>
      <c r="D377" s="4" t="s">
        <v>11</v>
      </c>
      <c r="E377" s="4" t="str">
        <f>"ASTC"</f>
        <v>ASTC</v>
      </c>
      <c r="F377" s="4" t="s">
        <v>343</v>
      </c>
      <c r="G377" s="4">
        <v>12</v>
      </c>
      <c r="H377" s="4">
        <v>7</v>
      </c>
      <c r="I377" s="4">
        <v>6</v>
      </c>
    </row>
    <row r="378" spans="1:9" ht="24" thickBot="1" x14ac:dyDescent="0.3">
      <c r="A378" s="3">
        <v>601</v>
      </c>
      <c r="B378" s="3" t="str">
        <f>"19808513B"</f>
        <v>19808513B</v>
      </c>
      <c r="C378" s="5" t="s">
        <v>392</v>
      </c>
      <c r="D378" s="4" t="s">
        <v>11</v>
      </c>
      <c r="E378" s="4" t="str">
        <f>"PRTP"</f>
        <v>PRTP</v>
      </c>
      <c r="F378" s="4" t="s">
        <v>343</v>
      </c>
      <c r="G378" s="4">
        <v>28</v>
      </c>
      <c r="H378" s="4">
        <v>2</v>
      </c>
      <c r="I378" s="4">
        <v>29</v>
      </c>
    </row>
    <row r="379" spans="1:9" ht="24" thickBot="1" x14ac:dyDescent="0.3">
      <c r="A379" s="3">
        <v>620</v>
      </c>
      <c r="B379" s="3" t="str">
        <f>"19928504K"</f>
        <v>19928504K</v>
      </c>
      <c r="C379" s="5" t="s">
        <v>393</v>
      </c>
      <c r="D379" s="4" t="s">
        <v>11</v>
      </c>
      <c r="E379" s="4" t="str">
        <f>"PRTC"</f>
        <v>PRTC</v>
      </c>
      <c r="F379" s="4" t="s">
        <v>343</v>
      </c>
      <c r="G379" s="4">
        <v>16</v>
      </c>
      <c r="H379" s="4">
        <v>11</v>
      </c>
      <c r="I379" s="4">
        <v>20</v>
      </c>
    </row>
    <row r="380" spans="1:9" ht="24" thickBot="1" x14ac:dyDescent="0.3">
      <c r="A380" s="3">
        <v>626</v>
      </c>
      <c r="B380" s="3" t="str">
        <f>"19728525D"</f>
        <v>19728525D</v>
      </c>
      <c r="C380" s="5" t="s">
        <v>394</v>
      </c>
      <c r="D380" s="4" t="s">
        <v>11</v>
      </c>
      <c r="E380" s="4" t="str">
        <f>"AXTP"</f>
        <v>AXTP</v>
      </c>
      <c r="F380" s="4" t="s">
        <v>343</v>
      </c>
      <c r="G380" s="4">
        <v>16</v>
      </c>
      <c r="H380" s="4">
        <v>6</v>
      </c>
      <c r="I380" s="4">
        <v>0</v>
      </c>
    </row>
    <row r="381" spans="1:9" ht="24" thickBot="1" x14ac:dyDescent="0.3">
      <c r="A381" s="3">
        <v>640</v>
      </c>
      <c r="B381" s="3" t="str">
        <f>"19868506B"</f>
        <v>19868506B</v>
      </c>
      <c r="C381" s="5" t="s">
        <v>395</v>
      </c>
      <c r="D381" s="4" t="s">
        <v>11</v>
      </c>
      <c r="E381" s="4" t="str">
        <f>"PRTC"</f>
        <v>PRTC</v>
      </c>
      <c r="F381" s="4" t="s">
        <v>343</v>
      </c>
      <c r="G381" s="4">
        <v>13</v>
      </c>
      <c r="H381" s="4">
        <v>2</v>
      </c>
      <c r="I381" s="4">
        <v>9</v>
      </c>
    </row>
    <row r="382" spans="1:9" ht="24" thickBot="1" x14ac:dyDescent="0.3">
      <c r="A382" s="3">
        <v>660</v>
      </c>
      <c r="B382" s="3" t="str">
        <f>"19898503A"</f>
        <v>19898503A</v>
      </c>
      <c r="C382" s="5" t="s">
        <v>396</v>
      </c>
      <c r="D382" s="4" t="s">
        <v>11</v>
      </c>
      <c r="E382" s="4" t="str">
        <f>"ASTC"</f>
        <v>ASTC</v>
      </c>
      <c r="F382" s="4" t="s">
        <v>343</v>
      </c>
      <c r="G382" s="4">
        <v>29</v>
      </c>
      <c r="H382" s="4">
        <v>5</v>
      </c>
      <c r="I382" s="4">
        <v>9</v>
      </c>
    </row>
    <row r="383" spans="1:9" ht="24" thickBot="1" x14ac:dyDescent="0.3">
      <c r="A383" s="3">
        <v>714</v>
      </c>
      <c r="B383" s="3" t="str">
        <f>"19888582F"</f>
        <v>19888582F</v>
      </c>
      <c r="C383" s="5" t="s">
        <v>397</v>
      </c>
      <c r="D383" s="4" t="s">
        <v>11</v>
      </c>
      <c r="E383" s="4" t="str">
        <f>"ASTC"</f>
        <v>ASTC</v>
      </c>
      <c r="F383" s="4" t="s">
        <v>343</v>
      </c>
      <c r="G383" s="4">
        <v>6</v>
      </c>
      <c r="H383" s="4">
        <v>6</v>
      </c>
      <c r="I383" s="4">
        <v>4</v>
      </c>
    </row>
    <row r="384" spans="1:9" ht="24" thickBot="1" x14ac:dyDescent="0.3">
      <c r="A384" s="3">
        <v>746</v>
      </c>
      <c r="B384" s="3" t="str">
        <f>"19938603A"</f>
        <v>19938603A</v>
      </c>
      <c r="C384" s="5" t="s">
        <v>398</v>
      </c>
      <c r="D384" s="4" t="s">
        <v>11</v>
      </c>
      <c r="E384" s="4" t="str">
        <f>"PRTC"</f>
        <v>PRTC</v>
      </c>
      <c r="F384" s="4" t="s">
        <v>343</v>
      </c>
      <c r="G384" s="4">
        <v>14</v>
      </c>
      <c r="H384" s="4">
        <v>1</v>
      </c>
      <c r="I384" s="4">
        <v>0</v>
      </c>
    </row>
    <row r="385" spans="1:9" ht="24" thickBot="1" x14ac:dyDescent="0.3">
      <c r="A385" s="3">
        <v>791</v>
      </c>
      <c r="B385" s="3" t="str">
        <f>"20008606J"</f>
        <v>20008606J</v>
      </c>
      <c r="C385" s="5" t="s">
        <v>399</v>
      </c>
      <c r="D385" s="4" t="s">
        <v>11</v>
      </c>
      <c r="E385" s="4" t="str">
        <f>"AXTP"</f>
        <v>AXTP</v>
      </c>
      <c r="F385" s="4" t="s">
        <v>343</v>
      </c>
      <c r="G385" s="4">
        <v>16</v>
      </c>
      <c r="H385" s="4">
        <v>6</v>
      </c>
      <c r="I385" s="4">
        <v>0</v>
      </c>
    </row>
    <row r="386" spans="1:9" ht="24" thickBot="1" x14ac:dyDescent="0.3">
      <c r="A386" s="3">
        <v>798</v>
      </c>
      <c r="B386" s="3" t="str">
        <f>"19868642C"</f>
        <v>19868642C</v>
      </c>
      <c r="C386" s="5" t="s">
        <v>400</v>
      </c>
      <c r="D386" s="4" t="s">
        <v>11</v>
      </c>
      <c r="E386" s="4" t="str">
        <f>"PRTC"</f>
        <v>PRTC</v>
      </c>
      <c r="F386" s="4" t="s">
        <v>343</v>
      </c>
      <c r="G386" s="4">
        <v>26</v>
      </c>
      <c r="H386" s="4">
        <v>9</v>
      </c>
      <c r="I386" s="4">
        <v>2</v>
      </c>
    </row>
    <row r="387" spans="1:9" ht="24" thickBot="1" x14ac:dyDescent="0.3">
      <c r="A387" s="3">
        <v>829</v>
      </c>
      <c r="B387" s="3" t="str">
        <f>"20168664H"</f>
        <v>20168664H</v>
      </c>
      <c r="C387" s="5" t="s">
        <v>401</v>
      </c>
      <c r="D387" s="4" t="s">
        <v>11</v>
      </c>
      <c r="E387" s="4" t="str">
        <f>"AXTP"</f>
        <v>AXTP</v>
      </c>
      <c r="F387" s="4" t="s">
        <v>343</v>
      </c>
      <c r="G387" s="4">
        <v>4</v>
      </c>
      <c r="H387" s="4">
        <v>6</v>
      </c>
      <c r="I387" s="4">
        <v>0</v>
      </c>
    </row>
    <row r="388" spans="1:9" ht="24" thickBot="1" x14ac:dyDescent="0.3">
      <c r="A388" s="3">
        <v>840</v>
      </c>
      <c r="B388" s="3" t="str">
        <f>"20228600K"</f>
        <v>20228600K</v>
      </c>
      <c r="C388" s="5" t="s">
        <v>402</v>
      </c>
      <c r="D388" s="4" t="s">
        <v>11</v>
      </c>
      <c r="E388" s="4" t="str">
        <f>"AXTC"</f>
        <v>AXTC</v>
      </c>
      <c r="F388" s="4" t="s">
        <v>343</v>
      </c>
      <c r="G388" s="4">
        <v>3</v>
      </c>
      <c r="H388" s="4">
        <v>6</v>
      </c>
      <c r="I388" s="4">
        <v>18</v>
      </c>
    </row>
    <row r="389" spans="1:9" ht="24" thickBot="1" x14ac:dyDescent="0.3">
      <c r="A389" s="3">
        <v>842</v>
      </c>
      <c r="B389" s="3" t="str">
        <f>"19828668A"</f>
        <v>19828668A</v>
      </c>
      <c r="C389" s="5" t="s">
        <v>403</v>
      </c>
      <c r="D389" s="4" t="s">
        <v>11</v>
      </c>
      <c r="E389" s="4" t="str">
        <f>"PRTC"</f>
        <v>PRTC</v>
      </c>
      <c r="F389" s="4" t="s">
        <v>343</v>
      </c>
      <c r="G389" s="4">
        <v>8</v>
      </c>
      <c r="H389" s="4">
        <v>1</v>
      </c>
      <c r="I389" s="4">
        <v>7</v>
      </c>
    </row>
    <row r="390" spans="1:9" ht="24" thickBot="1" x14ac:dyDescent="0.3">
      <c r="A390" s="3">
        <v>852</v>
      </c>
      <c r="B390" s="3" t="str">
        <f>"20228602C"</f>
        <v>20228602C</v>
      </c>
      <c r="C390" s="5" t="s">
        <v>404</v>
      </c>
      <c r="D390" s="4" t="s">
        <v>11</v>
      </c>
      <c r="E390" s="4" t="str">
        <f>"AXTP"</f>
        <v>AXTP</v>
      </c>
      <c r="F390" s="4" t="s">
        <v>343</v>
      </c>
      <c r="G390" s="4">
        <v>3</v>
      </c>
      <c r="H390" s="4">
        <v>6</v>
      </c>
      <c r="I390" s="4">
        <v>18</v>
      </c>
    </row>
    <row r="391" spans="1:9" ht="24" thickBot="1" x14ac:dyDescent="0.3">
      <c r="A391" s="3">
        <v>857</v>
      </c>
      <c r="B391" s="3" t="str">
        <f>"20108662I"</f>
        <v>20108662I</v>
      </c>
      <c r="C391" s="5" t="s">
        <v>405</v>
      </c>
      <c r="D391" s="4" t="s">
        <v>11</v>
      </c>
      <c r="E391" s="4" t="str">
        <f>"AXTP"</f>
        <v>AXTP</v>
      </c>
      <c r="F391" s="4" t="s">
        <v>343</v>
      </c>
      <c r="G391" s="4">
        <v>4</v>
      </c>
      <c r="H391" s="4">
        <v>6</v>
      </c>
      <c r="I391" s="4">
        <v>0</v>
      </c>
    </row>
    <row r="392" spans="1:9" ht="24" thickBot="1" x14ac:dyDescent="0.3">
      <c r="A392" s="3">
        <v>862</v>
      </c>
      <c r="B392" s="3" t="str">
        <f>"19758672E"</f>
        <v>19758672E</v>
      </c>
      <c r="C392" s="5" t="s">
        <v>406</v>
      </c>
      <c r="D392" s="4" t="s">
        <v>11</v>
      </c>
      <c r="E392" s="4" t="str">
        <f>"ASTC"</f>
        <v>ASTC</v>
      </c>
      <c r="F392" s="4" t="s">
        <v>343</v>
      </c>
      <c r="G392" s="4">
        <v>36</v>
      </c>
      <c r="H392" s="4">
        <v>5</v>
      </c>
      <c r="I392" s="4">
        <v>23</v>
      </c>
    </row>
    <row r="393" spans="1:9" ht="24" thickBot="1" x14ac:dyDescent="0.3">
      <c r="A393" s="3">
        <v>880</v>
      </c>
      <c r="B393" s="3" t="str">
        <f>"19868669I"</f>
        <v>19868669I</v>
      </c>
      <c r="C393" s="5" t="s">
        <v>407</v>
      </c>
      <c r="D393" s="4" t="s">
        <v>11</v>
      </c>
      <c r="E393" s="4" t="str">
        <f>"PRTC"</f>
        <v>PRTC</v>
      </c>
      <c r="F393" s="4" t="s">
        <v>343</v>
      </c>
      <c r="G393" s="4">
        <v>23</v>
      </c>
      <c r="H393" s="4">
        <v>7</v>
      </c>
      <c r="I393" s="4">
        <v>17</v>
      </c>
    </row>
    <row r="394" spans="1:9" ht="24" thickBot="1" x14ac:dyDescent="0.3">
      <c r="A394" s="3">
        <v>887</v>
      </c>
      <c r="B394" s="3" t="str">
        <f>"20228601G"</f>
        <v>20228601G</v>
      </c>
      <c r="C394" s="5" t="s">
        <v>408</v>
      </c>
      <c r="D394" s="4" t="s">
        <v>11</v>
      </c>
      <c r="E394" s="4" t="str">
        <f>"AXTC"</f>
        <v>AXTC</v>
      </c>
      <c r="F394" s="4" t="s">
        <v>343</v>
      </c>
      <c r="G394" s="4">
        <v>3</v>
      </c>
      <c r="H394" s="4">
        <v>6</v>
      </c>
      <c r="I394" s="4">
        <v>18</v>
      </c>
    </row>
    <row r="395" spans="1:9" ht="24" thickBot="1" x14ac:dyDescent="0.3">
      <c r="A395" s="3">
        <v>889</v>
      </c>
      <c r="B395" s="3" t="str">
        <f>"19858671K"</f>
        <v>19858671K</v>
      </c>
      <c r="C395" s="5" t="s">
        <v>409</v>
      </c>
      <c r="D395" s="4" t="s">
        <v>11</v>
      </c>
      <c r="E395" s="4" t="str">
        <f>"AXTC"</f>
        <v>AXTC</v>
      </c>
      <c r="F395" s="4" t="s">
        <v>343</v>
      </c>
      <c r="G395" s="4">
        <v>16</v>
      </c>
      <c r="H395" s="4">
        <v>6</v>
      </c>
      <c r="I395" s="4">
        <v>0</v>
      </c>
    </row>
    <row r="396" spans="1:9" ht="24" thickBot="1" x14ac:dyDescent="0.3">
      <c r="A396" s="3">
        <v>904</v>
      </c>
      <c r="B396" s="3" t="str">
        <f>"20228644H"</f>
        <v>20228644H</v>
      </c>
      <c r="C396" s="5" t="s">
        <v>410</v>
      </c>
      <c r="D396" s="4" t="s">
        <v>11</v>
      </c>
      <c r="E396" s="4" t="str">
        <f>"AXTC"</f>
        <v>AXTC</v>
      </c>
      <c r="F396" s="4" t="s">
        <v>343</v>
      </c>
      <c r="G396" s="4">
        <v>3</v>
      </c>
      <c r="H396" s="4">
        <v>6</v>
      </c>
      <c r="I396" s="4">
        <v>18</v>
      </c>
    </row>
    <row r="397" spans="1:9" ht="24" thickBot="1" x14ac:dyDescent="0.3">
      <c r="A397" s="3">
        <v>912</v>
      </c>
      <c r="B397" s="3" t="str">
        <f>"19778732C"</f>
        <v>19778732C</v>
      </c>
      <c r="C397" s="5" t="s">
        <v>411</v>
      </c>
      <c r="D397" s="4" t="s">
        <v>11</v>
      </c>
      <c r="E397" s="4" t="str">
        <f>"ASTC"</f>
        <v>ASTC</v>
      </c>
      <c r="F397" s="4" t="s">
        <v>343</v>
      </c>
      <c r="G397" s="4">
        <v>32</v>
      </c>
      <c r="H397" s="4">
        <v>8</v>
      </c>
      <c r="I397" s="4">
        <v>0</v>
      </c>
    </row>
    <row r="398" spans="1:9" ht="24" thickBot="1" x14ac:dyDescent="0.3">
      <c r="A398" s="3">
        <v>922</v>
      </c>
      <c r="B398" s="3" t="str">
        <f>"19798714K"</f>
        <v>19798714K</v>
      </c>
      <c r="C398" s="5" t="s">
        <v>412</v>
      </c>
      <c r="D398" s="4" t="s">
        <v>11</v>
      </c>
      <c r="E398" s="4" t="str">
        <f>"PRTC"</f>
        <v>PRTC</v>
      </c>
      <c r="F398" s="4" t="s">
        <v>343</v>
      </c>
      <c r="G398" s="4">
        <v>14</v>
      </c>
      <c r="H398" s="4">
        <v>1</v>
      </c>
      <c r="I398" s="4">
        <v>0</v>
      </c>
    </row>
    <row r="399" spans="1:9" ht="24" thickBot="1" x14ac:dyDescent="0.3">
      <c r="A399" s="3">
        <v>949</v>
      </c>
      <c r="B399" s="3" t="str">
        <f>"19858721H"</f>
        <v>19858721H</v>
      </c>
      <c r="C399" s="5" t="s">
        <v>413</v>
      </c>
      <c r="D399" s="4" t="s">
        <v>11</v>
      </c>
      <c r="E399" s="4" t="str">
        <f>"ASTP"</f>
        <v>ASTP</v>
      </c>
      <c r="F399" s="4" t="s">
        <v>343</v>
      </c>
      <c r="G399" s="4">
        <v>33</v>
      </c>
      <c r="H399" s="4">
        <v>8</v>
      </c>
      <c r="I399" s="4">
        <v>21</v>
      </c>
    </row>
    <row r="400" spans="1:9" ht="24" thickBot="1" x14ac:dyDescent="0.3">
      <c r="A400" s="3">
        <v>971</v>
      </c>
      <c r="B400" s="3" t="str">
        <f>"19858723K"</f>
        <v>19858723K</v>
      </c>
      <c r="C400" s="5" t="s">
        <v>414</v>
      </c>
      <c r="D400" s="4" t="s">
        <v>11</v>
      </c>
      <c r="E400" s="4" t="str">
        <f>"PRTC"</f>
        <v>PRTC</v>
      </c>
      <c r="F400" s="4" t="s">
        <v>343</v>
      </c>
      <c r="G400" s="4">
        <v>26</v>
      </c>
      <c r="H400" s="4">
        <v>9</v>
      </c>
      <c r="I400" s="4">
        <v>2</v>
      </c>
    </row>
    <row r="401" spans="1:9" ht="24" thickBot="1" x14ac:dyDescent="0.3">
      <c r="A401" s="3">
        <v>981</v>
      </c>
      <c r="B401" s="3" t="str">
        <f>"20178764E"</f>
        <v>20178764E</v>
      </c>
      <c r="C401" s="5" t="s">
        <v>415</v>
      </c>
      <c r="D401" s="4" t="s">
        <v>11</v>
      </c>
      <c r="E401" s="4" t="str">
        <f>"AXTP"</f>
        <v>AXTP</v>
      </c>
      <c r="F401" s="4" t="s">
        <v>343</v>
      </c>
      <c r="G401" s="4">
        <v>4</v>
      </c>
      <c r="H401" s="4">
        <v>6</v>
      </c>
      <c r="I401" s="4">
        <v>0</v>
      </c>
    </row>
    <row r="402" spans="1:9" ht="24" thickBot="1" x14ac:dyDescent="0.3">
      <c r="A402" s="3">
        <v>1026</v>
      </c>
      <c r="B402" s="3" t="str">
        <f>"19898803E"</f>
        <v>19898803E</v>
      </c>
      <c r="C402" s="5" t="s">
        <v>416</v>
      </c>
      <c r="D402" s="4" t="s">
        <v>11</v>
      </c>
      <c r="E402" s="4" t="str">
        <f>"PRTC"</f>
        <v>PRTC</v>
      </c>
      <c r="F402" s="4" t="s">
        <v>343</v>
      </c>
      <c r="G402" s="4">
        <v>24</v>
      </c>
      <c r="H402" s="4">
        <v>0</v>
      </c>
      <c r="I402" s="4">
        <v>0</v>
      </c>
    </row>
    <row r="403" spans="1:9" ht="24" thickBot="1" x14ac:dyDescent="0.3">
      <c r="A403" s="3">
        <v>1034</v>
      </c>
      <c r="B403" s="3" t="str">
        <f>"19908822G"</f>
        <v>19908822G</v>
      </c>
      <c r="C403" s="5" t="s">
        <v>417</v>
      </c>
      <c r="D403" s="4" t="s">
        <v>11</v>
      </c>
      <c r="E403" s="4" t="str">
        <f>"AXTC"</f>
        <v>AXTC</v>
      </c>
      <c r="F403" s="4" t="s">
        <v>343</v>
      </c>
      <c r="G403" s="4">
        <v>16</v>
      </c>
      <c r="H403" s="4">
        <v>6</v>
      </c>
      <c r="I403" s="4">
        <v>0</v>
      </c>
    </row>
    <row r="404" spans="1:9" ht="24" thickBot="1" x14ac:dyDescent="0.3">
      <c r="A404" s="3">
        <v>1036</v>
      </c>
      <c r="B404" s="3" t="str">
        <f>"19878822D"</f>
        <v>19878822D</v>
      </c>
      <c r="C404" s="5" t="s">
        <v>418</v>
      </c>
      <c r="D404" s="4" t="s">
        <v>11</v>
      </c>
      <c r="E404" s="4" t="str">
        <f>"PRTP"</f>
        <v>PRTP</v>
      </c>
      <c r="F404" s="4" t="s">
        <v>343</v>
      </c>
      <c r="G404" s="4">
        <v>23</v>
      </c>
      <c r="H404" s="4">
        <v>4</v>
      </c>
      <c r="I404" s="4">
        <v>18</v>
      </c>
    </row>
    <row r="405" spans="1:9" ht="24" thickBot="1" x14ac:dyDescent="0.3">
      <c r="A405" s="3">
        <v>1040</v>
      </c>
      <c r="B405" s="3" t="str">
        <f>"20178827G"</f>
        <v>20178827G</v>
      </c>
      <c r="C405" s="5" t="s">
        <v>419</v>
      </c>
      <c r="D405" s="4" t="s">
        <v>11</v>
      </c>
      <c r="E405" s="4" t="str">
        <f>"AXTP"</f>
        <v>AXTP</v>
      </c>
      <c r="F405" s="4" t="s">
        <v>343</v>
      </c>
      <c r="G405" s="4">
        <v>4</v>
      </c>
      <c r="H405" s="4">
        <v>6</v>
      </c>
      <c r="I405" s="4">
        <v>0</v>
      </c>
    </row>
    <row r="406" spans="1:9" ht="24" thickBot="1" x14ac:dyDescent="0.3">
      <c r="A406" s="3">
        <v>1051</v>
      </c>
      <c r="B406" s="3" t="str">
        <f>"19888841A"</f>
        <v>19888841A</v>
      </c>
      <c r="C406" s="5" t="s">
        <v>420</v>
      </c>
      <c r="D406" s="4" t="s">
        <v>11</v>
      </c>
      <c r="E406" s="4" t="str">
        <f>"ASTC"</f>
        <v>ASTC</v>
      </c>
      <c r="F406" s="4" t="s">
        <v>343</v>
      </c>
      <c r="G406" s="4">
        <v>6</v>
      </c>
      <c r="H406" s="4">
        <v>4</v>
      </c>
      <c r="I406" s="4">
        <v>12</v>
      </c>
    </row>
    <row r="407" spans="1:9" ht="24" thickBot="1" x14ac:dyDescent="0.3">
      <c r="A407" s="3">
        <v>1055</v>
      </c>
      <c r="B407" s="3" t="str">
        <f>"19828822K"</f>
        <v>19828822K</v>
      </c>
      <c r="C407" s="5" t="s">
        <v>421</v>
      </c>
      <c r="D407" s="4" t="s">
        <v>11</v>
      </c>
      <c r="E407" s="4" t="str">
        <f>"AXTP"</f>
        <v>AXTP</v>
      </c>
      <c r="F407" s="4" t="s">
        <v>343</v>
      </c>
      <c r="G407" s="4">
        <v>23</v>
      </c>
      <c r="H407" s="4">
        <v>7</v>
      </c>
      <c r="I407" s="4">
        <v>17</v>
      </c>
    </row>
    <row r="408" spans="1:9" ht="24" thickBot="1" x14ac:dyDescent="0.3">
      <c r="A408" s="3">
        <v>1084</v>
      </c>
      <c r="B408" s="3" t="str">
        <f>"19778812G"</f>
        <v>19778812G</v>
      </c>
      <c r="C408" s="5" t="s">
        <v>422</v>
      </c>
      <c r="D408" s="4" t="s">
        <v>11</v>
      </c>
      <c r="E408" s="4" t="str">
        <f>"PRTC"</f>
        <v>PRTC</v>
      </c>
      <c r="F408" s="4" t="s">
        <v>343</v>
      </c>
      <c r="G408" s="4">
        <v>26</v>
      </c>
      <c r="H408" s="4">
        <v>9</v>
      </c>
      <c r="I408" s="4">
        <v>2</v>
      </c>
    </row>
    <row r="409" spans="1:9" ht="24" thickBot="1" x14ac:dyDescent="0.3">
      <c r="A409" s="3">
        <v>1114</v>
      </c>
      <c r="B409" s="3" t="str">
        <f>"20208978H"</f>
        <v>20208978H</v>
      </c>
      <c r="C409" s="5" t="s">
        <v>423</v>
      </c>
      <c r="D409" s="4" t="s">
        <v>11</v>
      </c>
      <c r="E409" s="4" t="str">
        <f>"AXTP"</f>
        <v>AXTP</v>
      </c>
      <c r="F409" s="4" t="s">
        <v>343</v>
      </c>
      <c r="G409" s="4">
        <v>4</v>
      </c>
      <c r="H409" s="4">
        <v>6</v>
      </c>
      <c r="I409" s="4">
        <v>0</v>
      </c>
    </row>
    <row r="410" spans="1:9" ht="24" thickBot="1" x14ac:dyDescent="0.3">
      <c r="A410" s="3">
        <v>1115</v>
      </c>
      <c r="B410" s="3" t="str">
        <f>"20178962A"</f>
        <v>20178962A</v>
      </c>
      <c r="C410" s="5" t="s">
        <v>424</v>
      </c>
      <c r="D410" s="4" t="s">
        <v>11</v>
      </c>
      <c r="E410" s="4" t="str">
        <f>"AXTP"</f>
        <v>AXTP</v>
      </c>
      <c r="F410" s="4" t="s">
        <v>343</v>
      </c>
      <c r="G410" s="4">
        <v>4</v>
      </c>
      <c r="H410" s="4">
        <v>6</v>
      </c>
      <c r="I410" s="4">
        <v>0</v>
      </c>
    </row>
    <row r="411" spans="1:9" ht="24" thickBot="1" x14ac:dyDescent="0.3">
      <c r="A411" s="3">
        <v>1120</v>
      </c>
      <c r="B411" s="3" t="str">
        <f>"19688962J"</f>
        <v>19688962J</v>
      </c>
      <c r="C411" s="5" t="s">
        <v>425</v>
      </c>
      <c r="D411" s="4" t="s">
        <v>11</v>
      </c>
      <c r="E411" s="4" t="str">
        <f>"PRTC"</f>
        <v>PRTC</v>
      </c>
      <c r="F411" s="4" t="s">
        <v>343</v>
      </c>
      <c r="G411" s="4">
        <v>32</v>
      </c>
      <c r="H411" s="4">
        <v>8</v>
      </c>
      <c r="I411" s="4">
        <v>0</v>
      </c>
    </row>
    <row r="412" spans="1:9" ht="24" thickBot="1" x14ac:dyDescent="0.3">
      <c r="A412" s="3">
        <v>1131</v>
      </c>
      <c r="B412" s="3" t="str">
        <f>"19788901B"</f>
        <v>19788901B</v>
      </c>
      <c r="C412" s="5" t="s">
        <v>426</v>
      </c>
      <c r="D412" s="4" t="s">
        <v>11</v>
      </c>
      <c r="E412" s="4" t="str">
        <f>"PRTC"</f>
        <v>PRTC</v>
      </c>
      <c r="F412" s="4" t="s">
        <v>343</v>
      </c>
      <c r="G412" s="4">
        <v>23</v>
      </c>
      <c r="H412" s="4">
        <v>2</v>
      </c>
      <c r="I412" s="4">
        <v>13</v>
      </c>
    </row>
    <row r="413" spans="1:9" ht="24" thickBot="1" x14ac:dyDescent="0.3">
      <c r="A413" s="3">
        <v>1132</v>
      </c>
      <c r="B413" s="3" t="str">
        <f>"19868962H"</f>
        <v>19868962H</v>
      </c>
      <c r="C413" s="5" t="s">
        <v>427</v>
      </c>
      <c r="D413" s="4" t="s">
        <v>11</v>
      </c>
      <c r="E413" s="4" t="str">
        <f>"ASTC"</f>
        <v>ASTC</v>
      </c>
      <c r="F413" s="4" t="s">
        <v>343</v>
      </c>
      <c r="G413" s="4">
        <v>32</v>
      </c>
      <c r="H413" s="4">
        <v>7</v>
      </c>
      <c r="I413" s="4">
        <v>0</v>
      </c>
    </row>
    <row r="414" spans="1:9" ht="24" thickBot="1" x14ac:dyDescent="0.3">
      <c r="A414" s="3">
        <v>7</v>
      </c>
      <c r="B414" s="3" t="str">
        <f>"19848004A"</f>
        <v>19848004A</v>
      </c>
      <c r="C414" s="5" t="s">
        <v>428</v>
      </c>
      <c r="D414" s="4" t="s">
        <v>11</v>
      </c>
      <c r="E414" s="4" t="str">
        <f>"PRTP"</f>
        <v>PRTP</v>
      </c>
      <c r="F414" s="4" t="s">
        <v>429</v>
      </c>
      <c r="G414" s="4">
        <v>27</v>
      </c>
      <c r="H414" s="4">
        <v>6</v>
      </c>
      <c r="I414" s="4">
        <v>29</v>
      </c>
    </row>
    <row r="415" spans="1:9" ht="24" thickBot="1" x14ac:dyDescent="0.3">
      <c r="A415" s="3">
        <v>61</v>
      </c>
      <c r="B415" s="3" t="str">
        <f>"19788001A"</f>
        <v>19788001A</v>
      </c>
      <c r="C415" s="5" t="s">
        <v>430</v>
      </c>
      <c r="D415" s="4" t="s">
        <v>11</v>
      </c>
      <c r="E415" s="4" t="str">
        <f>"PRTC"</f>
        <v>PRTC</v>
      </c>
      <c r="F415" s="4" t="s">
        <v>429</v>
      </c>
      <c r="G415" s="4">
        <v>35</v>
      </c>
      <c r="H415" s="4">
        <v>11</v>
      </c>
      <c r="I415" s="4">
        <v>0</v>
      </c>
    </row>
    <row r="416" spans="1:9" ht="24" thickBot="1" x14ac:dyDescent="0.3">
      <c r="A416" s="3">
        <v>84</v>
      </c>
      <c r="B416" s="3" t="str">
        <f>"20198064I"</f>
        <v>20198064I</v>
      </c>
      <c r="C416" s="5" t="s">
        <v>431</v>
      </c>
      <c r="D416" s="4" t="s">
        <v>11</v>
      </c>
      <c r="E416" s="4" t="str">
        <f>"AXTP"</f>
        <v>AXTP</v>
      </c>
      <c r="F416" s="4" t="s">
        <v>429</v>
      </c>
      <c r="G416" s="4">
        <v>4</v>
      </c>
      <c r="H416" s="4">
        <v>6</v>
      </c>
      <c r="I416" s="4">
        <v>0</v>
      </c>
    </row>
    <row r="417" spans="1:9" ht="24" thickBot="1" x14ac:dyDescent="0.3">
      <c r="A417" s="3">
        <v>87</v>
      </c>
      <c r="B417" s="3" t="str">
        <f>"19748075D"</f>
        <v>19748075D</v>
      </c>
      <c r="C417" s="5" t="s">
        <v>432</v>
      </c>
      <c r="D417" s="4" t="s">
        <v>11</v>
      </c>
      <c r="E417" s="4" t="str">
        <f>"PRTC"</f>
        <v>PRTC</v>
      </c>
      <c r="F417" s="4" t="s">
        <v>429</v>
      </c>
      <c r="G417" s="4">
        <v>34</v>
      </c>
      <c r="H417" s="4">
        <v>6</v>
      </c>
      <c r="I417" s="4">
        <v>0</v>
      </c>
    </row>
    <row r="418" spans="1:9" ht="24" thickBot="1" x14ac:dyDescent="0.3">
      <c r="A418" s="3">
        <v>96</v>
      </c>
      <c r="B418" s="3" t="str">
        <f>"19908063I"</f>
        <v>19908063I</v>
      </c>
      <c r="C418" s="5" t="s">
        <v>433</v>
      </c>
      <c r="D418" s="4" t="s">
        <v>11</v>
      </c>
      <c r="E418" s="4" t="str">
        <f>"ASTP"</f>
        <v>ASTP</v>
      </c>
      <c r="F418" s="4" t="s">
        <v>429</v>
      </c>
      <c r="G418" s="4">
        <v>23</v>
      </c>
      <c r="H418" s="4">
        <v>7</v>
      </c>
      <c r="I418" s="4">
        <v>4</v>
      </c>
    </row>
    <row r="419" spans="1:9" ht="24" thickBot="1" x14ac:dyDescent="0.3">
      <c r="A419" s="3">
        <v>198</v>
      </c>
      <c r="B419" s="3" t="str">
        <f>"20158111F"</f>
        <v>20158111F</v>
      </c>
      <c r="C419" s="5" t="s">
        <v>434</v>
      </c>
      <c r="D419" s="4" t="s">
        <v>11</v>
      </c>
      <c r="E419" s="4" t="str">
        <f>"AXTP"</f>
        <v>AXTP</v>
      </c>
      <c r="F419" s="4" t="s">
        <v>429</v>
      </c>
      <c r="G419" s="4">
        <v>4</v>
      </c>
      <c r="H419" s="4">
        <v>6</v>
      </c>
      <c r="I419" s="4">
        <v>0</v>
      </c>
    </row>
    <row r="420" spans="1:9" ht="24" thickBot="1" x14ac:dyDescent="0.3">
      <c r="A420" s="3">
        <v>200</v>
      </c>
      <c r="B420" s="3" t="str">
        <f>"19768128F"</f>
        <v>19768128F</v>
      </c>
      <c r="C420" s="5" t="s">
        <v>435</v>
      </c>
      <c r="D420" s="4" t="s">
        <v>11</v>
      </c>
      <c r="E420" s="4" t="str">
        <f>"PRTC"</f>
        <v>PRTC</v>
      </c>
      <c r="F420" s="4" t="s">
        <v>429</v>
      </c>
      <c r="G420" s="4">
        <v>35</v>
      </c>
      <c r="H420" s="4">
        <v>11</v>
      </c>
      <c r="I420" s="4">
        <v>0</v>
      </c>
    </row>
    <row r="421" spans="1:9" ht="24" thickBot="1" x14ac:dyDescent="0.3">
      <c r="A421" s="3">
        <v>212</v>
      </c>
      <c r="B421" s="3" t="str">
        <f>"19808124F"</f>
        <v>19808124F</v>
      </c>
      <c r="C421" s="5" t="s">
        <v>436</v>
      </c>
      <c r="D421" s="4" t="s">
        <v>11</v>
      </c>
      <c r="E421" s="4" t="str">
        <f>"PRTP"</f>
        <v>PRTP</v>
      </c>
      <c r="F421" s="4" t="s">
        <v>429</v>
      </c>
      <c r="G421" s="4">
        <v>13</v>
      </c>
      <c r="H421" s="4">
        <v>7</v>
      </c>
      <c r="I421" s="4">
        <v>0</v>
      </c>
    </row>
    <row r="422" spans="1:9" ht="24" thickBot="1" x14ac:dyDescent="0.3">
      <c r="A422" s="3">
        <v>250</v>
      </c>
      <c r="B422" s="3" t="str">
        <f>"19908146A"</f>
        <v>19908146A</v>
      </c>
      <c r="C422" s="5" t="s">
        <v>437</v>
      </c>
      <c r="D422" s="4" t="s">
        <v>11</v>
      </c>
      <c r="E422" s="4" t="str">
        <f>"AXTP"</f>
        <v>AXTP</v>
      </c>
      <c r="F422" s="4" t="s">
        <v>429</v>
      </c>
      <c r="G422" s="4">
        <v>16</v>
      </c>
      <c r="H422" s="4">
        <v>6</v>
      </c>
      <c r="I422" s="4">
        <v>0</v>
      </c>
    </row>
    <row r="423" spans="1:9" ht="24" thickBot="1" x14ac:dyDescent="0.3">
      <c r="A423" s="3">
        <v>271</v>
      </c>
      <c r="B423" s="3" t="str">
        <f>"19928127B"</f>
        <v>19928127B</v>
      </c>
      <c r="C423" s="5" t="s">
        <v>438</v>
      </c>
      <c r="D423" s="4" t="s">
        <v>11</v>
      </c>
      <c r="E423" s="4" t="str">
        <f>"ASTC"</f>
        <v>ASTC</v>
      </c>
      <c r="F423" s="4" t="s">
        <v>429</v>
      </c>
      <c r="G423" s="4">
        <v>23</v>
      </c>
      <c r="H423" s="4">
        <v>7</v>
      </c>
      <c r="I423" s="4">
        <v>4</v>
      </c>
    </row>
    <row r="424" spans="1:9" ht="24" thickBot="1" x14ac:dyDescent="0.3">
      <c r="A424" s="3">
        <v>299</v>
      </c>
      <c r="B424" s="3" t="str">
        <f>"19748211E"</f>
        <v>19748211E</v>
      </c>
      <c r="C424" s="5" t="s">
        <v>439</v>
      </c>
      <c r="D424" s="4" t="s">
        <v>11</v>
      </c>
      <c r="E424" s="4" t="str">
        <f>"PRTC"</f>
        <v>PRTC</v>
      </c>
      <c r="F424" s="4" t="s">
        <v>429</v>
      </c>
      <c r="G424" s="4">
        <v>27</v>
      </c>
      <c r="H424" s="4">
        <v>6</v>
      </c>
      <c r="I424" s="4">
        <v>19</v>
      </c>
    </row>
    <row r="425" spans="1:9" ht="24" thickBot="1" x14ac:dyDescent="0.3">
      <c r="A425" s="3">
        <v>309</v>
      </c>
      <c r="B425" s="3" t="str">
        <f>"19948212E"</f>
        <v>19948212E</v>
      </c>
      <c r="C425" s="5" t="s">
        <v>440</v>
      </c>
      <c r="D425" s="4" t="s">
        <v>11</v>
      </c>
      <c r="E425" s="4" t="str">
        <f>"AXTP"</f>
        <v>AXTP</v>
      </c>
      <c r="F425" s="4" t="s">
        <v>429</v>
      </c>
      <c r="G425" s="4">
        <v>14</v>
      </c>
      <c r="H425" s="4">
        <v>1</v>
      </c>
      <c r="I425" s="4">
        <v>0</v>
      </c>
    </row>
    <row r="426" spans="1:9" ht="24" thickBot="1" x14ac:dyDescent="0.3">
      <c r="A426" s="3">
        <v>328</v>
      </c>
      <c r="B426" s="3" t="str">
        <f>"20018251J"</f>
        <v>20018251J</v>
      </c>
      <c r="C426" s="5" t="s">
        <v>441</v>
      </c>
      <c r="D426" s="4" t="s">
        <v>11</v>
      </c>
      <c r="E426" s="4" t="str">
        <f>"ASTP"</f>
        <v>ASTP</v>
      </c>
      <c r="F426" s="4" t="s">
        <v>429</v>
      </c>
      <c r="G426" s="4">
        <v>13</v>
      </c>
      <c r="H426" s="4">
        <v>2</v>
      </c>
      <c r="I426" s="4">
        <v>5</v>
      </c>
    </row>
    <row r="427" spans="1:9" ht="24" thickBot="1" x14ac:dyDescent="0.3">
      <c r="A427" s="3">
        <v>351</v>
      </c>
      <c r="B427" s="3" t="str">
        <f>"19818252G"</f>
        <v>19818252G</v>
      </c>
      <c r="C427" s="5" t="s">
        <v>442</v>
      </c>
      <c r="D427" s="4" t="s">
        <v>11</v>
      </c>
      <c r="E427" s="4" t="str">
        <f>"PRTC"</f>
        <v>PRTC</v>
      </c>
      <c r="F427" s="4" t="s">
        <v>429</v>
      </c>
      <c r="G427" s="4">
        <v>27</v>
      </c>
      <c r="H427" s="4">
        <v>9</v>
      </c>
      <c r="I427" s="4">
        <v>6</v>
      </c>
    </row>
    <row r="428" spans="1:9" ht="24" thickBot="1" x14ac:dyDescent="0.3">
      <c r="A428" s="3">
        <v>386</v>
      </c>
      <c r="B428" s="3" t="str">
        <f>"19958303C"</f>
        <v>19958303C</v>
      </c>
      <c r="C428" s="5" t="s">
        <v>443</v>
      </c>
      <c r="D428" s="4" t="s">
        <v>11</v>
      </c>
      <c r="E428" s="4" t="str">
        <f>"AXTC"</f>
        <v>AXTC</v>
      </c>
      <c r="F428" s="4" t="s">
        <v>429</v>
      </c>
      <c r="G428" s="4">
        <v>14</v>
      </c>
      <c r="H428" s="4">
        <v>1</v>
      </c>
      <c r="I428" s="4">
        <v>0</v>
      </c>
    </row>
    <row r="429" spans="1:9" ht="24" thickBot="1" x14ac:dyDescent="0.3">
      <c r="A429" s="3">
        <v>409</v>
      </c>
      <c r="B429" s="3" t="str">
        <f>"20038301B"</f>
        <v>20038301B</v>
      </c>
      <c r="C429" s="5" t="s">
        <v>444</v>
      </c>
      <c r="D429" s="4" t="s">
        <v>11</v>
      </c>
      <c r="E429" s="4" t="str">
        <f>"AXTP"</f>
        <v>AXTP</v>
      </c>
      <c r="F429" s="4" t="s">
        <v>429</v>
      </c>
      <c r="G429" s="4">
        <v>14</v>
      </c>
      <c r="H429" s="4">
        <v>1</v>
      </c>
      <c r="I429" s="4">
        <v>0</v>
      </c>
    </row>
    <row r="430" spans="1:9" ht="24" thickBot="1" x14ac:dyDescent="0.3">
      <c r="A430" s="3">
        <v>424</v>
      </c>
      <c r="B430" s="3" t="str">
        <f>"20118303A"</f>
        <v>20118303A</v>
      </c>
      <c r="C430" s="5" t="s">
        <v>445</v>
      </c>
      <c r="D430" s="4" t="s">
        <v>11</v>
      </c>
      <c r="E430" s="4" t="str">
        <f>"AXTP"</f>
        <v>AXTP</v>
      </c>
      <c r="F430" s="4" t="s">
        <v>429</v>
      </c>
      <c r="G430" s="4">
        <v>4</v>
      </c>
      <c r="H430" s="4">
        <v>6</v>
      </c>
      <c r="I430" s="4">
        <v>0</v>
      </c>
    </row>
    <row r="431" spans="1:9" ht="24" thickBot="1" x14ac:dyDescent="0.3">
      <c r="A431" s="3">
        <v>469</v>
      </c>
      <c r="B431" s="3" t="str">
        <f>"20058351E"</f>
        <v>20058351E</v>
      </c>
      <c r="C431" s="5" t="s">
        <v>446</v>
      </c>
      <c r="D431" s="4" t="s">
        <v>11</v>
      </c>
      <c r="E431" s="4" t="str">
        <f>"AXTC"</f>
        <v>AXTC</v>
      </c>
      <c r="F431" s="4" t="s">
        <v>429</v>
      </c>
      <c r="G431" s="4">
        <v>14</v>
      </c>
      <c r="H431" s="4">
        <v>1</v>
      </c>
      <c r="I431" s="4">
        <v>0</v>
      </c>
    </row>
    <row r="432" spans="1:9" ht="24" thickBot="1" x14ac:dyDescent="0.3">
      <c r="A432" s="3">
        <v>476</v>
      </c>
      <c r="B432" s="3" t="str">
        <f>"20108371D"</f>
        <v>20108371D</v>
      </c>
      <c r="C432" s="5" t="s">
        <v>447</v>
      </c>
      <c r="D432" s="4" t="s">
        <v>11</v>
      </c>
      <c r="E432" s="4" t="str">
        <f>"AXTP"</f>
        <v>AXTP</v>
      </c>
      <c r="F432" s="4" t="s">
        <v>429</v>
      </c>
      <c r="G432" s="4">
        <v>13</v>
      </c>
      <c r="H432" s="4">
        <v>7</v>
      </c>
      <c r="I432" s="4">
        <v>0</v>
      </c>
    </row>
    <row r="433" spans="1:9" ht="24" thickBot="1" x14ac:dyDescent="0.3">
      <c r="A433" s="3">
        <v>539</v>
      </c>
      <c r="B433" s="3" t="str">
        <f>"20018444B"</f>
        <v>20018444B</v>
      </c>
      <c r="C433" s="5" t="s">
        <v>448</v>
      </c>
      <c r="D433" s="4" t="s">
        <v>11</v>
      </c>
      <c r="E433" s="4" t="str">
        <f>"AXTP"</f>
        <v>AXTP</v>
      </c>
      <c r="F433" s="4" t="s">
        <v>429</v>
      </c>
      <c r="G433" s="4">
        <v>14</v>
      </c>
      <c r="H433" s="4">
        <v>1</v>
      </c>
      <c r="I433" s="4">
        <v>0</v>
      </c>
    </row>
    <row r="434" spans="1:9" ht="24" thickBot="1" x14ac:dyDescent="0.3">
      <c r="A434" s="3">
        <v>541</v>
      </c>
      <c r="B434" s="3" t="str">
        <f>"20008442G"</f>
        <v>20008442G</v>
      </c>
      <c r="C434" s="5" t="s">
        <v>449</v>
      </c>
      <c r="D434" s="4" t="s">
        <v>11</v>
      </c>
      <c r="E434" s="4" t="str">
        <f>"ASTC"</f>
        <v>ASTC</v>
      </c>
      <c r="F434" s="4" t="s">
        <v>429</v>
      </c>
      <c r="G434" s="4">
        <v>13</v>
      </c>
      <c r="H434" s="4">
        <v>2</v>
      </c>
      <c r="I434" s="4">
        <v>14</v>
      </c>
    </row>
    <row r="435" spans="1:9" ht="24" thickBot="1" x14ac:dyDescent="0.3">
      <c r="A435" s="3">
        <v>563</v>
      </c>
      <c r="B435" s="3" t="str">
        <f>"20168501A"</f>
        <v>20168501A</v>
      </c>
      <c r="C435" s="5" t="s">
        <v>450</v>
      </c>
      <c r="D435" s="4" t="s">
        <v>11</v>
      </c>
      <c r="E435" s="4" t="str">
        <f>"AXTC"</f>
        <v>AXTC</v>
      </c>
      <c r="F435" s="4" t="s">
        <v>429</v>
      </c>
      <c r="G435" s="4">
        <v>4</v>
      </c>
      <c r="H435" s="4">
        <v>6</v>
      </c>
      <c r="I435" s="4">
        <v>0</v>
      </c>
    </row>
    <row r="436" spans="1:9" ht="24" thickBot="1" x14ac:dyDescent="0.3">
      <c r="A436" s="3">
        <v>613</v>
      </c>
      <c r="B436" s="3" t="str">
        <f>"19898518I"</f>
        <v>19898518I</v>
      </c>
      <c r="C436" s="5" t="s">
        <v>451</v>
      </c>
      <c r="D436" s="4" t="s">
        <v>11</v>
      </c>
      <c r="E436" s="4" t="str">
        <f>"ASTC"</f>
        <v>ASTC</v>
      </c>
      <c r="F436" s="4" t="s">
        <v>429</v>
      </c>
      <c r="G436" s="4">
        <v>23</v>
      </c>
      <c r="H436" s="4">
        <v>7</v>
      </c>
      <c r="I436" s="4">
        <v>4</v>
      </c>
    </row>
    <row r="437" spans="1:9" ht="24" thickBot="1" x14ac:dyDescent="0.3">
      <c r="A437" s="3">
        <v>621</v>
      </c>
      <c r="B437" s="3" t="str">
        <f>"20118501H"</f>
        <v>20118501H</v>
      </c>
      <c r="C437" s="5" t="s">
        <v>452</v>
      </c>
      <c r="D437" s="4" t="s">
        <v>11</v>
      </c>
      <c r="E437" s="4" t="str">
        <f>"AXTC"</f>
        <v>AXTC</v>
      </c>
      <c r="F437" s="4" t="s">
        <v>429</v>
      </c>
      <c r="G437" s="4">
        <v>4</v>
      </c>
      <c r="H437" s="4">
        <v>6</v>
      </c>
      <c r="I437" s="4">
        <v>0</v>
      </c>
    </row>
    <row r="438" spans="1:9" ht="24" thickBot="1" x14ac:dyDescent="0.3">
      <c r="A438" s="3">
        <v>671</v>
      </c>
      <c r="B438" s="3" t="str">
        <f>"19868562J"</f>
        <v>19868562J</v>
      </c>
      <c r="C438" s="5" t="s">
        <v>453</v>
      </c>
      <c r="D438" s="4" t="s">
        <v>11</v>
      </c>
      <c r="E438" s="4" t="str">
        <f>"AXTP"</f>
        <v>AXTP</v>
      </c>
      <c r="F438" s="4" t="s">
        <v>429</v>
      </c>
      <c r="G438" s="4">
        <v>18</v>
      </c>
      <c r="H438" s="4">
        <v>9</v>
      </c>
      <c r="I438" s="4">
        <v>15</v>
      </c>
    </row>
    <row r="439" spans="1:9" ht="24" thickBot="1" x14ac:dyDescent="0.3">
      <c r="A439" s="3">
        <v>692</v>
      </c>
      <c r="B439" s="3" t="str">
        <f>"20118581A"</f>
        <v>20118581A</v>
      </c>
      <c r="C439" s="5" t="s">
        <v>454</v>
      </c>
      <c r="D439" s="4" t="s">
        <v>11</v>
      </c>
      <c r="E439" s="4" t="str">
        <f>"AXTC"</f>
        <v>AXTC</v>
      </c>
      <c r="F439" s="4" t="s">
        <v>429</v>
      </c>
      <c r="G439" s="4">
        <v>4</v>
      </c>
      <c r="H439" s="4">
        <v>6</v>
      </c>
      <c r="I439" s="4">
        <v>0</v>
      </c>
    </row>
    <row r="440" spans="1:9" ht="24" thickBot="1" x14ac:dyDescent="0.3">
      <c r="A440" s="3">
        <v>730</v>
      </c>
      <c r="B440" s="3" t="str">
        <f>"20158601C"</f>
        <v>20158601C</v>
      </c>
      <c r="C440" s="5" t="s">
        <v>455</v>
      </c>
      <c r="D440" s="4" t="s">
        <v>11</v>
      </c>
      <c r="E440" s="4" t="str">
        <f>"AXTP"</f>
        <v>AXTP</v>
      </c>
      <c r="F440" s="4" t="s">
        <v>429</v>
      </c>
      <c r="G440" s="4">
        <v>4</v>
      </c>
      <c r="H440" s="4">
        <v>6</v>
      </c>
      <c r="I440" s="4">
        <v>0</v>
      </c>
    </row>
    <row r="441" spans="1:9" ht="24" thickBot="1" x14ac:dyDescent="0.3">
      <c r="A441" s="3">
        <v>751</v>
      </c>
      <c r="B441" s="3" t="str">
        <f>"19958605J"</f>
        <v>19958605J</v>
      </c>
      <c r="C441" s="5" t="s">
        <v>456</v>
      </c>
      <c r="D441" s="4" t="s">
        <v>11</v>
      </c>
      <c r="E441" s="4" t="str">
        <f>"ASTC"</f>
        <v>ASTC</v>
      </c>
      <c r="F441" s="4" t="s">
        <v>429</v>
      </c>
      <c r="G441" s="4">
        <v>7</v>
      </c>
      <c r="H441" s="4">
        <v>5</v>
      </c>
      <c r="I441" s="4">
        <v>7</v>
      </c>
    </row>
    <row r="442" spans="1:9" ht="24" thickBot="1" x14ac:dyDescent="0.3">
      <c r="A442" s="3">
        <v>777</v>
      </c>
      <c r="B442" s="3" t="str">
        <f>"20088603B"</f>
        <v>20088603B</v>
      </c>
      <c r="C442" s="5" t="s">
        <v>457</v>
      </c>
      <c r="D442" s="4" t="s">
        <v>11</v>
      </c>
      <c r="E442" s="4" t="str">
        <f>"AXTP"</f>
        <v>AXTP</v>
      </c>
      <c r="F442" s="4" t="s">
        <v>429</v>
      </c>
      <c r="G442" s="4">
        <v>14</v>
      </c>
      <c r="H442" s="4">
        <v>1</v>
      </c>
      <c r="I442" s="4">
        <v>0</v>
      </c>
    </row>
    <row r="443" spans="1:9" ht="24" thickBot="1" x14ac:dyDescent="0.3">
      <c r="A443" s="3">
        <v>780</v>
      </c>
      <c r="B443" s="3" t="str">
        <f>"20028603F"</f>
        <v>20028603F</v>
      </c>
      <c r="C443" s="5" t="s">
        <v>458</v>
      </c>
      <c r="D443" s="4" t="s">
        <v>11</v>
      </c>
      <c r="E443" s="4" t="str">
        <f>"AXTC"</f>
        <v>AXTC</v>
      </c>
      <c r="F443" s="4" t="s">
        <v>429</v>
      </c>
      <c r="G443" s="4">
        <v>16</v>
      </c>
      <c r="H443" s="4">
        <v>6</v>
      </c>
      <c r="I443" s="4">
        <v>0</v>
      </c>
    </row>
    <row r="444" spans="1:9" ht="24" thickBot="1" x14ac:dyDescent="0.3">
      <c r="A444" s="3">
        <v>815</v>
      </c>
      <c r="B444" s="3" t="str">
        <f>"19848642H"</f>
        <v>19848642H</v>
      </c>
      <c r="C444" s="5" t="s">
        <v>459</v>
      </c>
      <c r="D444" s="4" t="s">
        <v>11</v>
      </c>
      <c r="E444" s="4" t="str">
        <f>"PRTC"</f>
        <v>PRTC</v>
      </c>
      <c r="F444" s="4" t="s">
        <v>429</v>
      </c>
      <c r="G444" s="4">
        <v>27</v>
      </c>
      <c r="H444" s="4">
        <v>6</v>
      </c>
      <c r="I444" s="4">
        <v>29</v>
      </c>
    </row>
    <row r="445" spans="1:9" ht="24" thickBot="1" x14ac:dyDescent="0.3">
      <c r="A445" s="3">
        <v>822</v>
      </c>
      <c r="B445" s="3" t="str">
        <f>"20088664A"</f>
        <v>20088664A</v>
      </c>
      <c r="C445" s="5" t="s">
        <v>460</v>
      </c>
      <c r="D445" s="4" t="s">
        <v>11</v>
      </c>
      <c r="E445" s="4" t="str">
        <f>"AXTP"</f>
        <v>AXTP</v>
      </c>
      <c r="F445" s="4" t="s">
        <v>429</v>
      </c>
      <c r="G445" s="4">
        <v>14</v>
      </c>
      <c r="H445" s="4">
        <v>1</v>
      </c>
      <c r="I445" s="4">
        <v>0</v>
      </c>
    </row>
    <row r="446" spans="1:9" ht="24" thickBot="1" x14ac:dyDescent="0.3">
      <c r="A446" s="3">
        <v>824</v>
      </c>
      <c r="B446" s="3" t="str">
        <f>"20168662E"</f>
        <v>20168662E</v>
      </c>
      <c r="C446" s="5" t="s">
        <v>461</v>
      </c>
      <c r="D446" s="4" t="s">
        <v>11</v>
      </c>
      <c r="E446" s="4" t="str">
        <f>"AXTC"</f>
        <v>AXTC</v>
      </c>
      <c r="F446" s="4" t="s">
        <v>429</v>
      </c>
      <c r="G446" s="4">
        <v>4</v>
      </c>
      <c r="H446" s="4">
        <v>6</v>
      </c>
      <c r="I446" s="4">
        <v>0</v>
      </c>
    </row>
    <row r="447" spans="1:9" ht="24" thickBot="1" x14ac:dyDescent="0.3">
      <c r="A447" s="3">
        <v>884</v>
      </c>
      <c r="B447" s="3" t="str">
        <f>"20198647D"</f>
        <v>20198647D</v>
      </c>
      <c r="C447" s="5" t="s">
        <v>462</v>
      </c>
      <c r="D447" s="4" t="s">
        <v>11</v>
      </c>
      <c r="E447" s="4" t="str">
        <f>"AXTP"</f>
        <v>AXTP</v>
      </c>
      <c r="F447" s="4" t="s">
        <v>429</v>
      </c>
      <c r="G447" s="4">
        <v>4</v>
      </c>
      <c r="H447" s="4">
        <v>6</v>
      </c>
      <c r="I447" s="4">
        <v>0</v>
      </c>
    </row>
    <row r="448" spans="1:9" ht="24" thickBot="1" x14ac:dyDescent="0.3">
      <c r="A448" s="3">
        <v>898</v>
      </c>
      <c r="B448" s="3" t="str">
        <f>"19918663I"</f>
        <v>19918663I</v>
      </c>
      <c r="C448" s="5" t="s">
        <v>463</v>
      </c>
      <c r="D448" s="4" t="s">
        <v>11</v>
      </c>
      <c r="E448" s="4" t="str">
        <f>"AXTC"</f>
        <v>AXTC</v>
      </c>
      <c r="F448" s="4" t="s">
        <v>429</v>
      </c>
      <c r="G448" s="4">
        <v>16</v>
      </c>
      <c r="H448" s="4">
        <v>6</v>
      </c>
      <c r="I448" s="4">
        <v>0</v>
      </c>
    </row>
    <row r="449" spans="1:9" ht="24" thickBot="1" x14ac:dyDescent="0.3">
      <c r="A449" s="3">
        <v>900</v>
      </c>
      <c r="B449" s="3" t="str">
        <f>"20088663E"</f>
        <v>20088663E</v>
      </c>
      <c r="C449" s="5" t="s">
        <v>464</v>
      </c>
      <c r="D449" s="4" t="s">
        <v>11</v>
      </c>
      <c r="E449" s="4" t="str">
        <f>"AXTC"</f>
        <v>AXTC</v>
      </c>
      <c r="F449" s="4" t="s">
        <v>429</v>
      </c>
      <c r="G449" s="4">
        <v>4</v>
      </c>
      <c r="H449" s="4">
        <v>6</v>
      </c>
      <c r="I449" s="4">
        <v>0</v>
      </c>
    </row>
    <row r="450" spans="1:9" ht="24" thickBot="1" x14ac:dyDescent="0.3">
      <c r="A450" s="3">
        <v>965</v>
      </c>
      <c r="B450" s="3" t="str">
        <f>"20218641F"</f>
        <v>20218641F</v>
      </c>
      <c r="C450" s="5" t="s">
        <v>465</v>
      </c>
      <c r="D450" s="4" t="s">
        <v>11</v>
      </c>
      <c r="E450" s="4" t="str">
        <f>"AXTC"</f>
        <v>AXTC</v>
      </c>
      <c r="F450" s="4" t="s">
        <v>429</v>
      </c>
      <c r="G450" s="4">
        <v>4</v>
      </c>
      <c r="H450" s="4">
        <v>6</v>
      </c>
      <c r="I450" s="4">
        <v>0</v>
      </c>
    </row>
    <row r="451" spans="1:9" ht="24" thickBot="1" x14ac:dyDescent="0.3">
      <c r="A451" s="3">
        <v>1075</v>
      </c>
      <c r="B451" s="3" t="str">
        <f>"20048821I"</f>
        <v>20048821I</v>
      </c>
      <c r="C451" s="5" t="s">
        <v>466</v>
      </c>
      <c r="D451" s="4" t="s">
        <v>11</v>
      </c>
      <c r="E451" s="4" t="str">
        <f>"AXTC"</f>
        <v>AXTC</v>
      </c>
      <c r="F451" s="4" t="s">
        <v>429</v>
      </c>
      <c r="G451" s="4">
        <v>13</v>
      </c>
      <c r="H451" s="4">
        <v>7</v>
      </c>
      <c r="I451" s="4">
        <v>0</v>
      </c>
    </row>
    <row r="452" spans="1:9" ht="24" thickBot="1" x14ac:dyDescent="0.3">
      <c r="A452" s="3">
        <v>10</v>
      </c>
      <c r="B452" s="3" t="str">
        <f>"19988003H"</f>
        <v>19988003H</v>
      </c>
      <c r="C452" s="5" t="s">
        <v>467</v>
      </c>
      <c r="D452" s="4" t="s">
        <v>11</v>
      </c>
      <c r="E452" s="4" t="str">
        <f>"AXTP"</f>
        <v>AXTP</v>
      </c>
      <c r="F452" s="4" t="s">
        <v>468</v>
      </c>
      <c r="G452" s="4">
        <v>23</v>
      </c>
      <c r="H452" s="4">
        <v>4</v>
      </c>
      <c r="I452" s="4">
        <v>17</v>
      </c>
    </row>
    <row r="453" spans="1:9" ht="24" thickBot="1" x14ac:dyDescent="0.3">
      <c r="A453" s="3">
        <v>18</v>
      </c>
      <c r="B453" s="3" t="str">
        <f>"19858008J"</f>
        <v>19858008J</v>
      </c>
      <c r="C453" s="5" t="s">
        <v>469</v>
      </c>
      <c r="D453" s="4" t="s">
        <v>11</v>
      </c>
      <c r="E453" s="4" t="str">
        <f>"AXTC"</f>
        <v>AXTC</v>
      </c>
      <c r="F453" s="4" t="s">
        <v>468</v>
      </c>
      <c r="G453" s="4">
        <v>4</v>
      </c>
      <c r="H453" s="4">
        <v>6</v>
      </c>
      <c r="I453" s="4">
        <v>0</v>
      </c>
    </row>
    <row r="454" spans="1:9" ht="24" thickBot="1" x14ac:dyDescent="0.3">
      <c r="A454" s="3">
        <v>32</v>
      </c>
      <c r="B454" s="3" t="str">
        <f>"20188001D"</f>
        <v>20188001D</v>
      </c>
      <c r="C454" s="5" t="s">
        <v>470</v>
      </c>
      <c r="D454" s="4" t="s">
        <v>11</v>
      </c>
      <c r="E454" s="4" t="str">
        <f>"AXTP"</f>
        <v>AXTP</v>
      </c>
      <c r="F454" s="4" t="s">
        <v>468</v>
      </c>
      <c r="G454" s="4">
        <v>4</v>
      </c>
      <c r="H454" s="4">
        <v>6</v>
      </c>
      <c r="I454" s="4">
        <v>0</v>
      </c>
    </row>
    <row r="455" spans="1:9" ht="24" thickBot="1" x14ac:dyDescent="0.3">
      <c r="A455" s="3">
        <v>40</v>
      </c>
      <c r="B455" s="3" t="str">
        <f>"19938005G"</f>
        <v>19938005G</v>
      </c>
      <c r="C455" s="5" t="s">
        <v>471</v>
      </c>
      <c r="D455" s="4" t="s">
        <v>11</v>
      </c>
      <c r="E455" s="4" t="str">
        <f>"PRTC"</f>
        <v>PRTC</v>
      </c>
      <c r="F455" s="4" t="s">
        <v>468</v>
      </c>
      <c r="G455" s="4">
        <v>14</v>
      </c>
      <c r="H455" s="4">
        <v>1</v>
      </c>
      <c r="I455" s="4">
        <v>0</v>
      </c>
    </row>
    <row r="456" spans="1:9" ht="24" thickBot="1" x14ac:dyDescent="0.3">
      <c r="A456" s="3">
        <v>56</v>
      </c>
      <c r="B456" s="3" t="str">
        <f>"19838011E"</f>
        <v>19838011E</v>
      </c>
      <c r="C456" s="5" t="s">
        <v>472</v>
      </c>
      <c r="D456" s="4" t="s">
        <v>11</v>
      </c>
      <c r="E456" s="4" t="str">
        <f>"PRTC"</f>
        <v>PRTC</v>
      </c>
      <c r="F456" s="4" t="s">
        <v>468</v>
      </c>
      <c r="G456" s="4">
        <v>28</v>
      </c>
      <c r="H456" s="4">
        <v>6</v>
      </c>
      <c r="I456" s="4">
        <v>14</v>
      </c>
    </row>
    <row r="457" spans="1:9" ht="24" thickBot="1" x14ac:dyDescent="0.3">
      <c r="A457" s="3">
        <v>64</v>
      </c>
      <c r="B457" s="3" t="str">
        <f>"19878005F"</f>
        <v>19878005F</v>
      </c>
      <c r="C457" s="5" t="s">
        <v>473</v>
      </c>
      <c r="D457" s="4" t="s">
        <v>11</v>
      </c>
      <c r="E457" s="4" t="str">
        <f>"PRTC"</f>
        <v>PRTC</v>
      </c>
      <c r="F457" s="4" t="s">
        <v>468</v>
      </c>
      <c r="G457" s="4">
        <v>17</v>
      </c>
      <c r="H457" s="4">
        <v>5</v>
      </c>
      <c r="I457" s="4">
        <v>11</v>
      </c>
    </row>
    <row r="458" spans="1:9" ht="24" thickBot="1" x14ac:dyDescent="0.3">
      <c r="A458" s="3">
        <v>155</v>
      </c>
      <c r="B458" s="3" t="str">
        <f>"20048123J"</f>
        <v>20048123J</v>
      </c>
      <c r="C458" s="5" t="s">
        <v>474</v>
      </c>
      <c r="D458" s="4" t="s">
        <v>11</v>
      </c>
      <c r="E458" s="4" t="str">
        <f>"AXTP"</f>
        <v>AXTP</v>
      </c>
      <c r="F458" s="4" t="s">
        <v>468</v>
      </c>
      <c r="G458" s="4">
        <v>16</v>
      </c>
      <c r="H458" s="4">
        <v>3</v>
      </c>
      <c r="I458" s="4">
        <v>0</v>
      </c>
    </row>
    <row r="459" spans="1:9" ht="24" thickBot="1" x14ac:dyDescent="0.3">
      <c r="A459" s="3">
        <v>166</v>
      </c>
      <c r="B459" s="3" t="str">
        <f>"20138115F"</f>
        <v>20138115F</v>
      </c>
      <c r="C459" s="5" t="s">
        <v>475</v>
      </c>
      <c r="D459" s="4" t="s">
        <v>11</v>
      </c>
      <c r="E459" s="4" t="str">
        <f>"AXTC"</f>
        <v>AXTC</v>
      </c>
      <c r="F459" s="4" t="s">
        <v>468</v>
      </c>
      <c r="G459" s="4">
        <v>3</v>
      </c>
      <c r="H459" s="4">
        <v>6</v>
      </c>
      <c r="I459" s="4">
        <v>18</v>
      </c>
    </row>
    <row r="460" spans="1:9" ht="24" thickBot="1" x14ac:dyDescent="0.3">
      <c r="A460" s="3">
        <v>179</v>
      </c>
      <c r="B460" s="3" t="str">
        <f>"19998129D"</f>
        <v>19998129D</v>
      </c>
      <c r="C460" s="5" t="s">
        <v>476</v>
      </c>
      <c r="D460" s="4" t="s">
        <v>11</v>
      </c>
      <c r="E460" s="4" t="str">
        <f>"PRTC"</f>
        <v>PRTC</v>
      </c>
      <c r="F460" s="4" t="s">
        <v>468</v>
      </c>
      <c r="G460" s="4">
        <v>17</v>
      </c>
      <c r="H460" s="4">
        <v>4</v>
      </c>
      <c r="I460" s="4">
        <v>19</v>
      </c>
    </row>
    <row r="461" spans="1:9" ht="24" thickBot="1" x14ac:dyDescent="0.3">
      <c r="A461" s="3">
        <v>205</v>
      </c>
      <c r="B461" s="3" t="str">
        <f>"20088123K"</f>
        <v>20088123K</v>
      </c>
      <c r="C461" s="5" t="s">
        <v>477</v>
      </c>
      <c r="D461" s="4" t="s">
        <v>11</v>
      </c>
      <c r="E461" s="4" t="str">
        <f>"AXTC"</f>
        <v>AXTC</v>
      </c>
      <c r="F461" s="4" t="s">
        <v>468</v>
      </c>
      <c r="G461" s="4">
        <v>4</v>
      </c>
      <c r="H461" s="4">
        <v>6</v>
      </c>
      <c r="I461" s="4">
        <v>0</v>
      </c>
    </row>
    <row r="462" spans="1:9" ht="24" thickBot="1" x14ac:dyDescent="0.3">
      <c r="A462" s="3">
        <v>209</v>
      </c>
      <c r="B462" s="3" t="str">
        <f>"19968121E"</f>
        <v>19968121E</v>
      </c>
      <c r="C462" s="5" t="s">
        <v>478</v>
      </c>
      <c r="D462" s="4" t="s">
        <v>11</v>
      </c>
      <c r="E462" s="4" t="str">
        <f>"ASTC"</f>
        <v>ASTC</v>
      </c>
      <c r="F462" s="4" t="s">
        <v>468</v>
      </c>
      <c r="G462" s="4">
        <v>13</v>
      </c>
      <c r="H462" s="4">
        <v>1</v>
      </c>
      <c r="I462" s="4">
        <v>29</v>
      </c>
    </row>
    <row r="463" spans="1:9" ht="24" thickBot="1" x14ac:dyDescent="0.3">
      <c r="A463" s="3">
        <v>213</v>
      </c>
      <c r="B463" s="3" t="str">
        <f>"19848137A"</f>
        <v>19848137A</v>
      </c>
      <c r="C463" s="5" t="s">
        <v>479</v>
      </c>
      <c r="D463" s="4" t="s">
        <v>11</v>
      </c>
      <c r="E463" s="4" t="str">
        <f>"PRTC"</f>
        <v>PRTC</v>
      </c>
      <c r="F463" s="4" t="s">
        <v>468</v>
      </c>
      <c r="G463" s="4">
        <v>22</v>
      </c>
      <c r="H463" s="4">
        <v>9</v>
      </c>
      <c r="I463" s="4">
        <v>11</v>
      </c>
    </row>
    <row r="464" spans="1:9" ht="24" thickBot="1" x14ac:dyDescent="0.3">
      <c r="A464" s="3">
        <v>214</v>
      </c>
      <c r="B464" s="3" t="str">
        <f>"20198118A"</f>
        <v>20198118A</v>
      </c>
      <c r="C464" s="5" t="s">
        <v>480</v>
      </c>
      <c r="D464" s="4" t="s">
        <v>11</v>
      </c>
      <c r="E464" s="4" t="str">
        <f>"AXTC"</f>
        <v>AXTC</v>
      </c>
      <c r="F464" s="4" t="s">
        <v>468</v>
      </c>
      <c r="G464" s="4">
        <v>4</v>
      </c>
      <c r="H464" s="4">
        <v>6</v>
      </c>
      <c r="I464" s="4">
        <v>0</v>
      </c>
    </row>
    <row r="465" spans="1:9" ht="24" thickBot="1" x14ac:dyDescent="0.3">
      <c r="A465" s="3">
        <v>244</v>
      </c>
      <c r="B465" s="3" t="str">
        <f>"19958130A"</f>
        <v>19958130A</v>
      </c>
      <c r="C465" s="5" t="s">
        <v>481</v>
      </c>
      <c r="D465" s="4" t="s">
        <v>11</v>
      </c>
      <c r="E465" s="4" t="str">
        <f>"AXTC"</f>
        <v>AXTC</v>
      </c>
      <c r="F465" s="4" t="s">
        <v>468</v>
      </c>
      <c r="G465" s="4">
        <v>4</v>
      </c>
      <c r="H465" s="4">
        <v>6</v>
      </c>
      <c r="I465" s="4">
        <v>0</v>
      </c>
    </row>
    <row r="466" spans="1:9" ht="24" thickBot="1" x14ac:dyDescent="0.3">
      <c r="A466" s="3">
        <v>261</v>
      </c>
      <c r="B466" s="3" t="str">
        <f>"19798127H"</f>
        <v>19798127H</v>
      </c>
      <c r="C466" s="5" t="s">
        <v>482</v>
      </c>
      <c r="D466" s="4" t="s">
        <v>11</v>
      </c>
      <c r="E466" s="4" t="str">
        <f>"AXTC"</f>
        <v>AXTC</v>
      </c>
      <c r="F466" s="4" t="s">
        <v>468</v>
      </c>
      <c r="G466" s="4">
        <v>27</v>
      </c>
      <c r="H466" s="4">
        <v>3</v>
      </c>
      <c r="I466" s="4">
        <v>14</v>
      </c>
    </row>
    <row r="467" spans="1:9" ht="24" thickBot="1" x14ac:dyDescent="0.3">
      <c r="A467" s="3">
        <v>270</v>
      </c>
      <c r="B467" s="3" t="str">
        <f>"20198113J"</f>
        <v>20198113J</v>
      </c>
      <c r="C467" s="5" t="s">
        <v>483</v>
      </c>
      <c r="D467" s="4" t="s">
        <v>11</v>
      </c>
      <c r="E467" s="4" t="str">
        <f>"AXTP"</f>
        <v>AXTP</v>
      </c>
      <c r="F467" s="4" t="s">
        <v>468</v>
      </c>
      <c r="G467" s="4">
        <v>4</v>
      </c>
      <c r="H467" s="4">
        <v>6</v>
      </c>
      <c r="I467" s="4">
        <v>0</v>
      </c>
    </row>
    <row r="468" spans="1:9" ht="24" thickBot="1" x14ac:dyDescent="0.3">
      <c r="A468" s="3">
        <v>284</v>
      </c>
      <c r="B468" s="3" t="str">
        <f>"19848127F"</f>
        <v>19848127F</v>
      </c>
      <c r="C468" s="5" t="s">
        <v>484</v>
      </c>
      <c r="D468" s="4" t="s">
        <v>11</v>
      </c>
      <c r="E468" s="4" t="str">
        <f>"PRTC"</f>
        <v>PRTC</v>
      </c>
      <c r="F468" s="4" t="s">
        <v>468</v>
      </c>
      <c r="G468" s="4">
        <v>26</v>
      </c>
      <c r="H468" s="4">
        <v>8</v>
      </c>
      <c r="I468" s="4">
        <v>11</v>
      </c>
    </row>
    <row r="469" spans="1:9" ht="24" thickBot="1" x14ac:dyDescent="0.3">
      <c r="A469" s="3">
        <v>306</v>
      </c>
      <c r="B469" s="3" t="str">
        <f>"19888213K"</f>
        <v>19888213K</v>
      </c>
      <c r="C469" s="5" t="s">
        <v>485</v>
      </c>
      <c r="D469" s="4" t="s">
        <v>11</v>
      </c>
      <c r="E469" s="4" t="str">
        <f>"ASTP"</f>
        <v>ASTP</v>
      </c>
      <c r="F469" s="4" t="s">
        <v>468</v>
      </c>
      <c r="G469" s="4">
        <v>34</v>
      </c>
      <c r="H469" s="4">
        <v>6</v>
      </c>
      <c r="I469" s="4">
        <v>0</v>
      </c>
    </row>
    <row r="470" spans="1:9" ht="24" thickBot="1" x14ac:dyDescent="0.3">
      <c r="A470" s="3">
        <v>321</v>
      </c>
      <c r="B470" s="3" t="str">
        <f>"19928213F"</f>
        <v>19928213F</v>
      </c>
      <c r="C470" s="5" t="s">
        <v>486</v>
      </c>
      <c r="D470" s="4" t="s">
        <v>11</v>
      </c>
      <c r="E470" s="4" t="str">
        <f>"AXTP"</f>
        <v>AXTP</v>
      </c>
      <c r="F470" s="4" t="s">
        <v>468</v>
      </c>
      <c r="G470" s="4">
        <v>25</v>
      </c>
      <c r="H470" s="4">
        <v>3</v>
      </c>
      <c r="I470" s="4">
        <v>15</v>
      </c>
    </row>
    <row r="471" spans="1:9" ht="24" thickBot="1" x14ac:dyDescent="0.3">
      <c r="A471" s="3">
        <v>341</v>
      </c>
      <c r="B471" s="3" t="str">
        <f>"20038251E"</f>
        <v>20038251E</v>
      </c>
      <c r="C471" s="5" t="s">
        <v>487</v>
      </c>
      <c r="D471" s="4" t="s">
        <v>11</v>
      </c>
      <c r="E471" s="4" t="str">
        <f>"ASTC"</f>
        <v>ASTC</v>
      </c>
      <c r="F471" s="4" t="s">
        <v>468</v>
      </c>
      <c r="G471" s="4">
        <v>16</v>
      </c>
      <c r="H471" s="4">
        <v>6</v>
      </c>
      <c r="I471" s="4">
        <v>29</v>
      </c>
    </row>
    <row r="472" spans="1:9" ht="24" thickBot="1" x14ac:dyDescent="0.3">
      <c r="A472" s="3">
        <v>348</v>
      </c>
      <c r="B472" s="3" t="str">
        <f>"19978253A"</f>
        <v>19978253A</v>
      </c>
      <c r="C472" s="5" t="s">
        <v>488</v>
      </c>
      <c r="D472" s="4" t="s">
        <v>11</v>
      </c>
      <c r="E472" s="4" t="str">
        <f>"AXTP"</f>
        <v>AXTP</v>
      </c>
      <c r="F472" s="4" t="s">
        <v>468</v>
      </c>
      <c r="G472" s="4">
        <v>23</v>
      </c>
      <c r="H472" s="4">
        <v>1</v>
      </c>
      <c r="I472" s="4">
        <v>17</v>
      </c>
    </row>
    <row r="473" spans="1:9" ht="24" thickBot="1" x14ac:dyDescent="0.3">
      <c r="A473" s="3">
        <v>350</v>
      </c>
      <c r="B473" s="3" t="str">
        <f>"20138253J"</f>
        <v>20138253J</v>
      </c>
      <c r="C473" s="5" t="s">
        <v>489</v>
      </c>
      <c r="D473" s="4" t="s">
        <v>11</v>
      </c>
      <c r="E473" s="4" t="str">
        <f>"AXTC"</f>
        <v>AXTC</v>
      </c>
      <c r="F473" s="4" t="s">
        <v>468</v>
      </c>
      <c r="G473" s="4">
        <v>4</v>
      </c>
      <c r="H473" s="4">
        <v>6</v>
      </c>
      <c r="I473" s="4">
        <v>0</v>
      </c>
    </row>
    <row r="474" spans="1:9" ht="24" thickBot="1" x14ac:dyDescent="0.3">
      <c r="A474" s="3">
        <v>404</v>
      </c>
      <c r="B474" s="3" t="str">
        <f>"20098302E"</f>
        <v>20098302E</v>
      </c>
      <c r="C474" s="5" t="s">
        <v>490</v>
      </c>
      <c r="D474" s="4" t="s">
        <v>11</v>
      </c>
      <c r="E474" s="4" t="str">
        <f>"AXTC"</f>
        <v>AXTC</v>
      </c>
      <c r="F474" s="4" t="s">
        <v>468</v>
      </c>
      <c r="G474" s="4">
        <v>3</v>
      </c>
      <c r="H474" s="4">
        <v>6</v>
      </c>
      <c r="I474" s="4">
        <v>18</v>
      </c>
    </row>
    <row r="475" spans="1:9" ht="24" thickBot="1" x14ac:dyDescent="0.3">
      <c r="A475" s="3">
        <v>416</v>
      </c>
      <c r="B475" s="3" t="str">
        <f>"19958305F"</f>
        <v>19958305F</v>
      </c>
      <c r="C475" s="5" t="s">
        <v>491</v>
      </c>
      <c r="D475" s="4" t="s">
        <v>11</v>
      </c>
      <c r="E475" s="4" t="str">
        <f>"AXTC"</f>
        <v>AXTC</v>
      </c>
      <c r="F475" s="4" t="s">
        <v>468</v>
      </c>
      <c r="G475" s="4">
        <v>23</v>
      </c>
      <c r="H475" s="4">
        <v>7</v>
      </c>
      <c r="I475" s="4">
        <v>17</v>
      </c>
    </row>
    <row r="476" spans="1:9" ht="24" thickBot="1" x14ac:dyDescent="0.3">
      <c r="A476" s="3">
        <v>450</v>
      </c>
      <c r="B476" s="3" t="str">
        <f>"20188356G"</f>
        <v>20188356G</v>
      </c>
      <c r="C476" s="5" t="s">
        <v>492</v>
      </c>
      <c r="D476" s="4" t="s">
        <v>11</v>
      </c>
      <c r="E476" s="4" t="str">
        <f>"AXTP"</f>
        <v>AXTP</v>
      </c>
      <c r="F476" s="4" t="s">
        <v>468</v>
      </c>
      <c r="G476" s="4">
        <v>4</v>
      </c>
      <c r="H476" s="4">
        <v>6</v>
      </c>
      <c r="I476" s="4">
        <v>0</v>
      </c>
    </row>
    <row r="477" spans="1:9" ht="24" thickBot="1" x14ac:dyDescent="0.3">
      <c r="A477" s="3">
        <v>471</v>
      </c>
      <c r="B477" s="3" t="str">
        <f>"19978353F"</f>
        <v>19978353F</v>
      </c>
      <c r="C477" s="5" t="s">
        <v>493</v>
      </c>
      <c r="D477" s="4" t="s">
        <v>11</v>
      </c>
      <c r="E477" s="4" t="str">
        <f>"PRTC"</f>
        <v>PRTC</v>
      </c>
      <c r="F477" s="4" t="s">
        <v>468</v>
      </c>
      <c r="G477" s="4">
        <v>13</v>
      </c>
      <c r="H477" s="4">
        <v>11</v>
      </c>
      <c r="I477" s="4">
        <v>18</v>
      </c>
    </row>
    <row r="478" spans="1:9" ht="24" thickBot="1" x14ac:dyDescent="0.3">
      <c r="A478" s="3">
        <v>479</v>
      </c>
      <c r="B478" s="3" t="str">
        <f>"20068402A"</f>
        <v>20068402A</v>
      </c>
      <c r="C478" s="5" t="s">
        <v>494</v>
      </c>
      <c r="D478" s="4" t="s">
        <v>11</v>
      </c>
      <c r="E478" s="4" t="str">
        <f>"AXTC"</f>
        <v>AXTC</v>
      </c>
      <c r="F478" s="4" t="s">
        <v>468</v>
      </c>
      <c r="G478" s="4">
        <v>15</v>
      </c>
      <c r="H478" s="4">
        <v>10</v>
      </c>
      <c r="I478" s="4">
        <v>28</v>
      </c>
    </row>
    <row r="479" spans="1:9" ht="24" thickBot="1" x14ac:dyDescent="0.3">
      <c r="A479" s="3">
        <v>485</v>
      </c>
      <c r="B479" s="3" t="str">
        <f>"20008401I"</f>
        <v>20008401I</v>
      </c>
      <c r="C479" s="5" t="s">
        <v>495</v>
      </c>
      <c r="D479" s="4" t="s">
        <v>11</v>
      </c>
      <c r="E479" s="4" t="str">
        <f>"AXTC"</f>
        <v>AXTC</v>
      </c>
      <c r="F479" s="4" t="s">
        <v>468</v>
      </c>
      <c r="G479" s="4">
        <v>4</v>
      </c>
      <c r="H479" s="4">
        <v>6</v>
      </c>
      <c r="I479" s="4">
        <v>0</v>
      </c>
    </row>
    <row r="480" spans="1:9" ht="24" thickBot="1" x14ac:dyDescent="0.3">
      <c r="A480" s="3">
        <v>499</v>
      </c>
      <c r="B480" s="3" t="str">
        <f>"19938441A"</f>
        <v>19938441A</v>
      </c>
      <c r="C480" s="5" t="s">
        <v>496</v>
      </c>
      <c r="D480" s="4" t="s">
        <v>11</v>
      </c>
      <c r="E480" s="4" t="str">
        <f>"AXTC"</f>
        <v>AXTC</v>
      </c>
      <c r="F480" s="4" t="s">
        <v>468</v>
      </c>
      <c r="G480" s="4">
        <v>4</v>
      </c>
      <c r="H480" s="4">
        <v>6</v>
      </c>
      <c r="I480" s="4">
        <v>0</v>
      </c>
    </row>
    <row r="481" spans="1:9" ht="24" thickBot="1" x14ac:dyDescent="0.3">
      <c r="A481" s="3">
        <v>522</v>
      </c>
      <c r="B481" s="3" t="str">
        <f>"20088441B"</f>
        <v>20088441B</v>
      </c>
      <c r="C481" s="5" t="s">
        <v>497</v>
      </c>
      <c r="D481" s="4" t="s">
        <v>11</v>
      </c>
      <c r="E481" s="4" t="str">
        <f>"AXTC"</f>
        <v>AXTC</v>
      </c>
      <c r="F481" s="4" t="s">
        <v>468</v>
      </c>
      <c r="G481" s="4">
        <v>4</v>
      </c>
      <c r="H481" s="4">
        <v>6</v>
      </c>
      <c r="I481" s="4">
        <v>0</v>
      </c>
    </row>
    <row r="482" spans="1:9" ht="24" thickBot="1" x14ac:dyDescent="0.3">
      <c r="A482" s="3">
        <v>546</v>
      </c>
      <c r="B482" s="3" t="str">
        <f>"19778514F"</f>
        <v>19778514F</v>
      </c>
      <c r="C482" s="5" t="s">
        <v>498</v>
      </c>
      <c r="D482" s="4" t="s">
        <v>11</v>
      </c>
      <c r="E482" s="4" t="str">
        <f>"ASTC"</f>
        <v>ASTC</v>
      </c>
      <c r="F482" s="4" t="s">
        <v>468</v>
      </c>
      <c r="G482" s="4">
        <v>13</v>
      </c>
      <c r="H482" s="4">
        <v>2</v>
      </c>
      <c r="I482" s="4">
        <v>5</v>
      </c>
    </row>
    <row r="483" spans="1:9" ht="24" thickBot="1" x14ac:dyDescent="0.3">
      <c r="A483" s="3">
        <v>549</v>
      </c>
      <c r="B483" s="3" t="str">
        <f>"19998507I"</f>
        <v>19998507I</v>
      </c>
      <c r="C483" s="5" t="s">
        <v>499</v>
      </c>
      <c r="D483" s="4" t="s">
        <v>11</v>
      </c>
      <c r="E483" s="4" t="str">
        <f>"AXTP"</f>
        <v>AXTP</v>
      </c>
      <c r="F483" s="4" t="s">
        <v>468</v>
      </c>
      <c r="G483" s="4">
        <v>23</v>
      </c>
      <c r="H483" s="4">
        <v>7</v>
      </c>
      <c r="I483" s="4">
        <v>17</v>
      </c>
    </row>
    <row r="484" spans="1:9" ht="24" thickBot="1" x14ac:dyDescent="0.3">
      <c r="A484" s="3">
        <v>577</v>
      </c>
      <c r="B484" s="3" t="str">
        <f>"20108502A"</f>
        <v>20108502A</v>
      </c>
      <c r="C484" s="5" t="s">
        <v>500</v>
      </c>
      <c r="D484" s="4" t="s">
        <v>11</v>
      </c>
      <c r="E484" s="4" t="str">
        <f>"AXTC"</f>
        <v>AXTC</v>
      </c>
      <c r="F484" s="4" t="s">
        <v>468</v>
      </c>
      <c r="G484" s="4">
        <v>3</v>
      </c>
      <c r="H484" s="4">
        <v>9</v>
      </c>
      <c r="I484" s="4">
        <v>0</v>
      </c>
    </row>
    <row r="485" spans="1:9" ht="24" thickBot="1" x14ac:dyDescent="0.3">
      <c r="A485" s="3">
        <v>598</v>
      </c>
      <c r="B485" s="3" t="str">
        <f>"19828503B"</f>
        <v>19828503B</v>
      </c>
      <c r="C485" s="5" t="s">
        <v>501</v>
      </c>
      <c r="D485" s="4" t="s">
        <v>11</v>
      </c>
      <c r="E485" s="4" t="str">
        <f>"AXTC"</f>
        <v>AXTC</v>
      </c>
      <c r="F485" s="4" t="s">
        <v>468</v>
      </c>
      <c r="G485" s="4">
        <v>23</v>
      </c>
      <c r="H485" s="4">
        <v>7</v>
      </c>
      <c r="I485" s="4">
        <v>17</v>
      </c>
    </row>
    <row r="486" spans="1:9" ht="24" thickBot="1" x14ac:dyDescent="0.3">
      <c r="A486" s="3">
        <v>616</v>
      </c>
      <c r="B486" s="3" t="str">
        <f>"19758520K"</f>
        <v>19758520K</v>
      </c>
      <c r="C486" s="5" t="s">
        <v>502</v>
      </c>
      <c r="D486" s="4" t="s">
        <v>11</v>
      </c>
      <c r="E486" s="4" t="str">
        <f>"PRTC"</f>
        <v>PRTC</v>
      </c>
      <c r="F486" s="4" t="s">
        <v>468</v>
      </c>
      <c r="G486" s="4">
        <v>35</v>
      </c>
      <c r="H486" s="4">
        <v>11</v>
      </c>
      <c r="I486" s="4">
        <v>0</v>
      </c>
    </row>
    <row r="487" spans="1:9" ht="24" thickBot="1" x14ac:dyDescent="0.3">
      <c r="A487" s="3">
        <v>661</v>
      </c>
      <c r="B487" s="3" t="str">
        <f>"20098501H"</f>
        <v>20098501H</v>
      </c>
      <c r="C487" s="5" t="s">
        <v>503</v>
      </c>
      <c r="D487" s="4" t="s">
        <v>11</v>
      </c>
      <c r="E487" s="4" t="str">
        <f>"AXTC"</f>
        <v>AXTC</v>
      </c>
      <c r="F487" s="4" t="s">
        <v>468</v>
      </c>
      <c r="G487" s="4">
        <v>14</v>
      </c>
      <c r="H487" s="4">
        <v>6</v>
      </c>
      <c r="I487" s="4">
        <v>26</v>
      </c>
    </row>
    <row r="488" spans="1:9" ht="24" thickBot="1" x14ac:dyDescent="0.3">
      <c r="A488" s="3">
        <v>694</v>
      </c>
      <c r="B488" s="3" t="str">
        <f>"20178582D"</f>
        <v>20178582D</v>
      </c>
      <c r="C488" s="5" t="s">
        <v>504</v>
      </c>
      <c r="D488" s="4" t="s">
        <v>11</v>
      </c>
      <c r="E488" s="4" t="str">
        <f>"AXTP"</f>
        <v>AXTP</v>
      </c>
      <c r="F488" s="4" t="s">
        <v>468</v>
      </c>
      <c r="G488" s="4">
        <v>4</v>
      </c>
      <c r="H488" s="4">
        <v>6</v>
      </c>
      <c r="I488" s="4">
        <v>0</v>
      </c>
    </row>
    <row r="489" spans="1:9" ht="24" thickBot="1" x14ac:dyDescent="0.3">
      <c r="A489" s="3">
        <v>702</v>
      </c>
      <c r="B489" s="3" t="str">
        <f>"19878581G"</f>
        <v>19878581G</v>
      </c>
      <c r="C489" s="5" t="s">
        <v>505</v>
      </c>
      <c r="D489" s="4" t="s">
        <v>11</v>
      </c>
      <c r="E489" s="4" t="str">
        <f>"PRTC"</f>
        <v>PRTC</v>
      </c>
      <c r="F489" s="4" t="s">
        <v>468</v>
      </c>
      <c r="G489" s="4">
        <v>26</v>
      </c>
      <c r="H489" s="4">
        <v>8</v>
      </c>
      <c r="I489" s="4">
        <v>11</v>
      </c>
    </row>
    <row r="490" spans="1:9" ht="24" thickBot="1" x14ac:dyDescent="0.3">
      <c r="A490" s="3">
        <v>729</v>
      </c>
      <c r="B490" s="3" t="str">
        <f>"19838606I"</f>
        <v>19838606I</v>
      </c>
      <c r="C490" s="5" t="s">
        <v>506</v>
      </c>
      <c r="D490" s="4" t="s">
        <v>11</v>
      </c>
      <c r="E490" s="4" t="str">
        <f>"ASTC"</f>
        <v>ASTC</v>
      </c>
      <c r="F490" s="4" t="s">
        <v>468</v>
      </c>
      <c r="G490" s="4">
        <v>26</v>
      </c>
      <c r="H490" s="4">
        <v>5</v>
      </c>
      <c r="I490" s="4">
        <v>4</v>
      </c>
    </row>
    <row r="491" spans="1:9" ht="24" thickBot="1" x14ac:dyDescent="0.3">
      <c r="A491" s="3">
        <v>738</v>
      </c>
      <c r="B491" s="3" t="str">
        <f>"19988603E"</f>
        <v>19988603E</v>
      </c>
      <c r="C491" s="5" t="s">
        <v>507</v>
      </c>
      <c r="D491" s="4" t="s">
        <v>11</v>
      </c>
      <c r="E491" s="4" t="str">
        <f>"ASTC"</f>
        <v>ASTC</v>
      </c>
      <c r="F491" s="4" t="s">
        <v>468</v>
      </c>
      <c r="G491" s="4">
        <v>6</v>
      </c>
      <c r="H491" s="4">
        <v>4</v>
      </c>
      <c r="I491" s="4">
        <v>12</v>
      </c>
    </row>
    <row r="492" spans="1:9" ht="24" thickBot="1" x14ac:dyDescent="0.3">
      <c r="A492" s="3">
        <v>759</v>
      </c>
      <c r="B492" s="3" t="str">
        <f>"19878602D"</f>
        <v>19878602D</v>
      </c>
      <c r="C492" s="5" t="s">
        <v>508</v>
      </c>
      <c r="D492" s="4" t="s">
        <v>11</v>
      </c>
      <c r="E492" s="4" t="str">
        <f>"ASTC"</f>
        <v>ASTC</v>
      </c>
      <c r="F492" s="4" t="s">
        <v>468</v>
      </c>
      <c r="G492" s="4">
        <v>33</v>
      </c>
      <c r="H492" s="4">
        <v>5</v>
      </c>
      <c r="I492" s="4">
        <v>3</v>
      </c>
    </row>
    <row r="493" spans="1:9" ht="24" thickBot="1" x14ac:dyDescent="0.3">
      <c r="A493" s="3">
        <v>768</v>
      </c>
      <c r="B493" s="3" t="str">
        <f>"19858605H"</f>
        <v>19858605H</v>
      </c>
      <c r="C493" s="5" t="s">
        <v>509</v>
      </c>
      <c r="D493" s="4" t="s">
        <v>11</v>
      </c>
      <c r="E493" s="4" t="str">
        <f>"PRTC"</f>
        <v>PRTC</v>
      </c>
      <c r="F493" s="4" t="s">
        <v>468</v>
      </c>
      <c r="G493" s="4">
        <v>25</v>
      </c>
      <c r="H493" s="4">
        <v>3</v>
      </c>
      <c r="I493" s="4">
        <v>0</v>
      </c>
    </row>
    <row r="494" spans="1:9" ht="24" thickBot="1" x14ac:dyDescent="0.3">
      <c r="A494" s="3">
        <v>773</v>
      </c>
      <c r="B494" s="3" t="str">
        <f>"19918602J"</f>
        <v>19918602J</v>
      </c>
      <c r="C494" s="5" t="s">
        <v>510</v>
      </c>
      <c r="D494" s="4" t="s">
        <v>11</v>
      </c>
      <c r="E494" s="4" t="str">
        <f>"ASTC"</f>
        <v>ASTC</v>
      </c>
      <c r="F494" s="4" t="s">
        <v>468</v>
      </c>
      <c r="G494" s="4">
        <v>26</v>
      </c>
      <c r="H494" s="4">
        <v>8</v>
      </c>
      <c r="I494" s="4">
        <v>11</v>
      </c>
    </row>
    <row r="495" spans="1:9" ht="24" thickBot="1" x14ac:dyDescent="0.3">
      <c r="A495" s="3">
        <v>794</v>
      </c>
      <c r="B495" s="3" t="str">
        <f>"20018641B"</f>
        <v>20018641B</v>
      </c>
      <c r="C495" s="5" t="s">
        <v>511</v>
      </c>
      <c r="D495" s="4" t="s">
        <v>11</v>
      </c>
      <c r="E495" s="4" t="str">
        <f>"AXTP"</f>
        <v>AXTP</v>
      </c>
      <c r="F495" s="4" t="s">
        <v>468</v>
      </c>
      <c r="G495" s="4">
        <v>4</v>
      </c>
      <c r="H495" s="4">
        <v>6</v>
      </c>
      <c r="I495" s="4">
        <v>0</v>
      </c>
    </row>
    <row r="496" spans="1:9" ht="24" thickBot="1" x14ac:dyDescent="0.3">
      <c r="A496" s="3">
        <v>795</v>
      </c>
      <c r="B496" s="3" t="str">
        <f>"20128641G"</f>
        <v>20128641G</v>
      </c>
      <c r="C496" s="5" t="s">
        <v>512</v>
      </c>
      <c r="D496" s="4" t="s">
        <v>11</v>
      </c>
      <c r="E496" s="4" t="str">
        <f>"AXTC"</f>
        <v>AXTC</v>
      </c>
      <c r="F496" s="4" t="s">
        <v>468</v>
      </c>
      <c r="G496" s="4">
        <v>4</v>
      </c>
      <c r="H496" s="4">
        <v>6</v>
      </c>
      <c r="I496" s="4">
        <v>0</v>
      </c>
    </row>
    <row r="497" spans="1:9" ht="24" thickBot="1" x14ac:dyDescent="0.3">
      <c r="A497" s="3">
        <v>847</v>
      </c>
      <c r="B497" s="3" t="str">
        <f>"19848667K"</f>
        <v>19848667K</v>
      </c>
      <c r="C497" s="5" t="s">
        <v>513</v>
      </c>
      <c r="D497" s="4" t="s">
        <v>11</v>
      </c>
      <c r="E497" s="4" t="str">
        <f>"PRTC"</f>
        <v>PRTC</v>
      </c>
      <c r="F497" s="4" t="s">
        <v>468</v>
      </c>
      <c r="G497" s="4">
        <v>25</v>
      </c>
      <c r="H497" s="4">
        <v>3</v>
      </c>
      <c r="I497" s="4">
        <v>0</v>
      </c>
    </row>
    <row r="498" spans="1:9" ht="24" thickBot="1" x14ac:dyDescent="0.3">
      <c r="A498" s="3">
        <v>866</v>
      </c>
      <c r="B498" s="3" t="str">
        <f>"19888666E"</f>
        <v>19888666E</v>
      </c>
      <c r="C498" s="5" t="s">
        <v>514</v>
      </c>
      <c r="D498" s="4" t="s">
        <v>11</v>
      </c>
      <c r="E498" s="4" t="str">
        <f>"AXTC"</f>
        <v>AXTC</v>
      </c>
      <c r="F498" s="4" t="s">
        <v>468</v>
      </c>
      <c r="G498" s="4">
        <v>4</v>
      </c>
      <c r="H498" s="4">
        <v>6</v>
      </c>
      <c r="I498" s="4">
        <v>0</v>
      </c>
    </row>
    <row r="499" spans="1:9" ht="24" thickBot="1" x14ac:dyDescent="0.3">
      <c r="A499" s="3">
        <v>897</v>
      </c>
      <c r="B499" s="3" t="str">
        <f>"20218593A"</f>
        <v>20218593A</v>
      </c>
      <c r="C499" s="5" t="s">
        <v>515</v>
      </c>
      <c r="D499" s="4" t="s">
        <v>11</v>
      </c>
      <c r="E499" s="4" t="str">
        <f>"AXTP"</f>
        <v>AXTP</v>
      </c>
      <c r="F499" s="4" t="s">
        <v>468</v>
      </c>
      <c r="G499" s="4">
        <v>4</v>
      </c>
      <c r="H499" s="4">
        <v>6</v>
      </c>
      <c r="I499" s="4">
        <v>0</v>
      </c>
    </row>
    <row r="500" spans="1:9" ht="24" thickBot="1" x14ac:dyDescent="0.3">
      <c r="A500" s="3">
        <v>915</v>
      </c>
      <c r="B500" s="3" t="str">
        <f>"19708719H"</f>
        <v>19708719H</v>
      </c>
      <c r="C500" s="5" t="s">
        <v>516</v>
      </c>
      <c r="D500" s="4" t="s">
        <v>11</v>
      </c>
      <c r="E500" s="4" t="str">
        <f>"PRTC"</f>
        <v>PRTC</v>
      </c>
      <c r="F500" s="4" t="s">
        <v>468</v>
      </c>
      <c r="G500" s="4">
        <v>23</v>
      </c>
      <c r="H500" s="4">
        <v>7</v>
      </c>
      <c r="I500" s="4">
        <v>17</v>
      </c>
    </row>
    <row r="501" spans="1:9" ht="24" thickBot="1" x14ac:dyDescent="0.3">
      <c r="A501" s="3">
        <v>920</v>
      </c>
      <c r="B501" s="3" t="str">
        <f>"20108711J"</f>
        <v>20108711J</v>
      </c>
      <c r="C501" s="5" t="s">
        <v>517</v>
      </c>
      <c r="D501" s="4" t="s">
        <v>11</v>
      </c>
      <c r="E501" s="4" t="str">
        <f>"AXTC"</f>
        <v>AXTC</v>
      </c>
      <c r="F501" s="4" t="s">
        <v>468</v>
      </c>
      <c r="G501" s="4">
        <v>4</v>
      </c>
      <c r="H501" s="4">
        <v>6</v>
      </c>
      <c r="I501" s="4">
        <v>0</v>
      </c>
    </row>
    <row r="502" spans="1:9" ht="24" thickBot="1" x14ac:dyDescent="0.3">
      <c r="A502" s="3">
        <v>923</v>
      </c>
      <c r="B502" s="3" t="str">
        <f>"19988715H"</f>
        <v>19988715H</v>
      </c>
      <c r="C502" s="5" t="s">
        <v>518</v>
      </c>
      <c r="D502" s="4" t="s">
        <v>11</v>
      </c>
      <c r="E502" s="4" t="str">
        <f>"AXTC"</f>
        <v>AXTC</v>
      </c>
      <c r="F502" s="4" t="s">
        <v>468</v>
      </c>
      <c r="G502" s="4">
        <v>16</v>
      </c>
      <c r="H502" s="4">
        <v>6</v>
      </c>
      <c r="I502" s="4">
        <v>0</v>
      </c>
    </row>
    <row r="503" spans="1:9" ht="24" thickBot="1" x14ac:dyDescent="0.3">
      <c r="A503" s="3">
        <v>925</v>
      </c>
      <c r="B503" s="3" t="str">
        <f>"20118715H"</f>
        <v>20118715H</v>
      </c>
      <c r="C503" s="5" t="s">
        <v>519</v>
      </c>
      <c r="D503" s="4" t="s">
        <v>11</v>
      </c>
      <c r="E503" s="4" t="str">
        <f>"AXTP"</f>
        <v>AXTP</v>
      </c>
      <c r="F503" s="4" t="s">
        <v>468</v>
      </c>
      <c r="G503" s="4">
        <v>4</v>
      </c>
      <c r="H503" s="4">
        <v>6</v>
      </c>
      <c r="I503" s="4">
        <v>0</v>
      </c>
    </row>
    <row r="504" spans="1:9" ht="24" thickBot="1" x14ac:dyDescent="0.3">
      <c r="A504" s="3">
        <v>933</v>
      </c>
      <c r="B504" s="3" t="str">
        <f>"20138712D"</f>
        <v>20138712D</v>
      </c>
      <c r="C504" s="5" t="s">
        <v>520</v>
      </c>
      <c r="D504" s="4" t="s">
        <v>11</v>
      </c>
      <c r="E504" s="4" t="str">
        <f>"AXTP"</f>
        <v>AXTP</v>
      </c>
      <c r="F504" s="4" t="s">
        <v>468</v>
      </c>
      <c r="G504" s="4">
        <v>4</v>
      </c>
      <c r="H504" s="4">
        <v>6</v>
      </c>
      <c r="I504" s="4">
        <v>0</v>
      </c>
    </row>
    <row r="505" spans="1:9" ht="24" thickBot="1" x14ac:dyDescent="0.3">
      <c r="A505" s="3">
        <v>955</v>
      </c>
      <c r="B505" s="3" t="str">
        <f>"19898718H"</f>
        <v>19898718H</v>
      </c>
      <c r="C505" s="5" t="s">
        <v>521</v>
      </c>
      <c r="D505" s="4" t="s">
        <v>11</v>
      </c>
      <c r="E505" s="4" t="str">
        <f>"ASTC"</f>
        <v>ASTC</v>
      </c>
      <c r="F505" s="4" t="s">
        <v>468</v>
      </c>
      <c r="G505" s="4">
        <v>26</v>
      </c>
      <c r="H505" s="4">
        <v>8</v>
      </c>
      <c r="I505" s="4">
        <v>11</v>
      </c>
    </row>
    <row r="506" spans="1:9" ht="24" thickBot="1" x14ac:dyDescent="0.3">
      <c r="A506" s="3">
        <v>959</v>
      </c>
      <c r="B506" s="3" t="str">
        <f>"20198694B"</f>
        <v>20198694B</v>
      </c>
      <c r="C506" s="5" t="s">
        <v>522</v>
      </c>
      <c r="D506" s="4" t="s">
        <v>11</v>
      </c>
      <c r="E506" s="4" t="str">
        <f>"AXTC"</f>
        <v>AXTC</v>
      </c>
      <c r="F506" s="4" t="s">
        <v>468</v>
      </c>
      <c r="G506" s="4">
        <v>4</v>
      </c>
      <c r="H506" s="4">
        <v>6</v>
      </c>
      <c r="I506" s="4">
        <v>0</v>
      </c>
    </row>
    <row r="507" spans="1:9" ht="24" thickBot="1" x14ac:dyDescent="0.3">
      <c r="A507" s="3">
        <v>969</v>
      </c>
      <c r="B507" s="3" t="str">
        <f>"19948713D"</f>
        <v>19948713D</v>
      </c>
      <c r="C507" s="5" t="s">
        <v>523</v>
      </c>
      <c r="D507" s="4" t="s">
        <v>11</v>
      </c>
      <c r="E507" s="4" t="str">
        <f>"AXTC"</f>
        <v>AXTC</v>
      </c>
      <c r="F507" s="4" t="s">
        <v>468</v>
      </c>
      <c r="G507" s="4">
        <v>25</v>
      </c>
      <c r="H507" s="4">
        <v>2</v>
      </c>
      <c r="I507" s="4">
        <v>14</v>
      </c>
    </row>
    <row r="508" spans="1:9" ht="24" thickBot="1" x14ac:dyDescent="0.3">
      <c r="A508" s="3">
        <v>994</v>
      </c>
      <c r="B508" s="3" t="str">
        <f>"20218689I"</f>
        <v>20218689I</v>
      </c>
      <c r="C508" s="5" t="s">
        <v>524</v>
      </c>
      <c r="D508" s="4" t="s">
        <v>11</v>
      </c>
      <c r="E508" s="4" t="str">
        <f>"AXTP"</f>
        <v>AXTP</v>
      </c>
      <c r="F508" s="4" t="s">
        <v>468</v>
      </c>
      <c r="G508" s="4">
        <v>4</v>
      </c>
      <c r="H508" s="4">
        <v>6</v>
      </c>
      <c r="I508" s="4">
        <v>0</v>
      </c>
    </row>
    <row r="509" spans="1:9" ht="24" thickBot="1" x14ac:dyDescent="0.3">
      <c r="A509" s="3">
        <v>1025</v>
      </c>
      <c r="B509" s="3" t="str">
        <f>"19928800I"</f>
        <v>19928800I</v>
      </c>
      <c r="C509" s="5" t="s">
        <v>525</v>
      </c>
      <c r="D509" s="4" t="s">
        <v>11</v>
      </c>
      <c r="E509" s="4" t="str">
        <f>"ASTC"</f>
        <v>ASTC</v>
      </c>
      <c r="F509" s="4" t="s">
        <v>468</v>
      </c>
      <c r="G509" s="4">
        <v>24</v>
      </c>
      <c r="H509" s="4">
        <v>3</v>
      </c>
      <c r="I509" s="4">
        <v>0</v>
      </c>
    </row>
    <row r="510" spans="1:9" ht="24" thickBot="1" x14ac:dyDescent="0.3">
      <c r="A510" s="3">
        <v>1030</v>
      </c>
      <c r="B510" s="3" t="str">
        <f>"20038801E"</f>
        <v>20038801E</v>
      </c>
      <c r="C510" s="5" t="s">
        <v>526</v>
      </c>
      <c r="D510" s="4" t="s">
        <v>11</v>
      </c>
      <c r="E510" s="4" t="str">
        <f>"AXTP"</f>
        <v>AXTP</v>
      </c>
      <c r="F510" s="4" t="s">
        <v>468</v>
      </c>
      <c r="G510" s="4">
        <v>4</v>
      </c>
      <c r="H510" s="4">
        <v>6</v>
      </c>
      <c r="I510" s="4">
        <v>0</v>
      </c>
    </row>
    <row r="511" spans="1:9" ht="24" thickBot="1" x14ac:dyDescent="0.3">
      <c r="A511" s="3">
        <v>1046</v>
      </c>
      <c r="B511" s="3" t="str">
        <f>"19978823B"</f>
        <v>19978823B</v>
      </c>
      <c r="C511" s="5" t="s">
        <v>527</v>
      </c>
      <c r="D511" s="4" t="s">
        <v>11</v>
      </c>
      <c r="E511" s="4" t="str">
        <f>"AXTC"</f>
        <v>AXTC</v>
      </c>
      <c r="F511" s="4" t="s">
        <v>468</v>
      </c>
      <c r="G511" s="4">
        <v>16</v>
      </c>
      <c r="H511" s="4">
        <v>6</v>
      </c>
      <c r="I511" s="4">
        <v>0</v>
      </c>
    </row>
    <row r="512" spans="1:9" ht="24" thickBot="1" x14ac:dyDescent="0.3">
      <c r="A512" s="3">
        <v>1053</v>
      </c>
      <c r="B512" s="3" t="str">
        <f>"19888827I"</f>
        <v>19888827I</v>
      </c>
      <c r="C512" s="5" t="s">
        <v>528</v>
      </c>
      <c r="D512" s="4" t="s">
        <v>11</v>
      </c>
      <c r="E512" s="4" t="str">
        <f>"ASTC"</f>
        <v>ASTC</v>
      </c>
      <c r="F512" s="4" t="s">
        <v>468</v>
      </c>
      <c r="G512" s="4">
        <v>6</v>
      </c>
      <c r="H512" s="4">
        <v>4</v>
      </c>
      <c r="I512" s="4">
        <v>12</v>
      </c>
    </row>
    <row r="513" spans="1:9" ht="24" thickBot="1" x14ac:dyDescent="0.3">
      <c r="A513" s="3">
        <v>1067</v>
      </c>
      <c r="B513" s="3" t="str">
        <f>"19838831B"</f>
        <v>19838831B</v>
      </c>
      <c r="C513" s="5" t="s">
        <v>529</v>
      </c>
      <c r="D513" s="4" t="s">
        <v>11</v>
      </c>
      <c r="E513" s="4" t="str">
        <f>"AXTC"</f>
        <v>AXTC</v>
      </c>
      <c r="F513" s="4" t="s">
        <v>468</v>
      </c>
      <c r="G513" s="4">
        <v>16</v>
      </c>
      <c r="H513" s="4">
        <v>6</v>
      </c>
      <c r="I513" s="4">
        <v>0</v>
      </c>
    </row>
    <row r="514" spans="1:9" ht="24" thickBot="1" x14ac:dyDescent="0.3">
      <c r="A514" s="3">
        <v>1082</v>
      </c>
      <c r="B514" s="3" t="str">
        <f>"19968821G"</f>
        <v>19968821G</v>
      </c>
      <c r="C514" s="5" t="s">
        <v>530</v>
      </c>
      <c r="D514" s="4" t="s">
        <v>11</v>
      </c>
      <c r="E514" s="4" t="str">
        <f>"AXTC"</f>
        <v>AXTC</v>
      </c>
      <c r="F514" s="4" t="s">
        <v>468</v>
      </c>
      <c r="G514" s="4">
        <v>23</v>
      </c>
      <c r="H514" s="4">
        <v>7</v>
      </c>
      <c r="I514" s="4">
        <v>17</v>
      </c>
    </row>
    <row r="515" spans="1:9" ht="24" thickBot="1" x14ac:dyDescent="0.3">
      <c r="A515" s="3">
        <v>1108</v>
      </c>
      <c r="B515" s="3" t="str">
        <f>"20108921D"</f>
        <v>20108921D</v>
      </c>
      <c r="C515" s="5" t="s">
        <v>531</v>
      </c>
      <c r="D515" s="4" t="s">
        <v>11</v>
      </c>
      <c r="E515" s="4" t="str">
        <f>"AXTC"</f>
        <v>AXTC</v>
      </c>
      <c r="F515" s="4" t="s">
        <v>468</v>
      </c>
      <c r="G515" s="4">
        <v>4</v>
      </c>
      <c r="H515" s="4">
        <v>6</v>
      </c>
      <c r="I515" s="4">
        <v>0</v>
      </c>
    </row>
    <row r="516" spans="1:9" ht="24" thickBot="1" x14ac:dyDescent="0.3">
      <c r="A516" s="3">
        <v>1123</v>
      </c>
      <c r="B516" s="3" t="str">
        <f>"20018961G"</f>
        <v>20018961G</v>
      </c>
      <c r="C516" s="5" t="s">
        <v>532</v>
      </c>
      <c r="D516" s="4" t="s">
        <v>11</v>
      </c>
      <c r="E516" s="4" t="str">
        <f>"AXTC"</f>
        <v>AXTC</v>
      </c>
      <c r="F516" s="4" t="s">
        <v>468</v>
      </c>
      <c r="G516" s="4">
        <v>4</v>
      </c>
      <c r="H516" s="4">
        <v>6</v>
      </c>
      <c r="I516" s="4">
        <v>0</v>
      </c>
    </row>
    <row r="517" spans="1:9" ht="24" thickBot="1" x14ac:dyDescent="0.3">
      <c r="A517" s="3">
        <v>1126</v>
      </c>
      <c r="B517" s="3" t="str">
        <f>"20218817G"</f>
        <v>20218817G</v>
      </c>
      <c r="C517" s="5" t="s">
        <v>533</v>
      </c>
      <c r="D517" s="4" t="s">
        <v>11</v>
      </c>
      <c r="E517" s="4" t="str">
        <f>"AXTP"</f>
        <v>AXTP</v>
      </c>
      <c r="F517" s="4" t="s">
        <v>468</v>
      </c>
      <c r="G517" s="4">
        <v>4</v>
      </c>
      <c r="H517" s="4">
        <v>6</v>
      </c>
      <c r="I517" s="4">
        <v>0</v>
      </c>
    </row>
    <row r="518" spans="1:9" ht="24" thickBot="1" x14ac:dyDescent="0.3">
      <c r="A518" s="3">
        <v>17</v>
      </c>
      <c r="B518" s="3" t="str">
        <f>"20178002H"</f>
        <v>20178002H</v>
      </c>
      <c r="C518" s="5" t="s">
        <v>534</v>
      </c>
      <c r="D518" s="4" t="s">
        <v>11</v>
      </c>
      <c r="E518" s="4" t="str">
        <f>"AXTP"</f>
        <v>AXTP</v>
      </c>
      <c r="F518" s="4" t="s">
        <v>535</v>
      </c>
      <c r="G518" s="4">
        <v>4</v>
      </c>
      <c r="H518" s="4">
        <v>6</v>
      </c>
      <c r="I518" s="4">
        <v>0</v>
      </c>
    </row>
    <row r="519" spans="1:9" ht="24" thickBot="1" x14ac:dyDescent="0.3">
      <c r="A519" s="3">
        <v>23</v>
      </c>
      <c r="B519" s="3" t="str">
        <f>"20028005A"</f>
        <v>20028005A</v>
      </c>
      <c r="C519" s="5" t="s">
        <v>536</v>
      </c>
      <c r="D519" s="4" t="s">
        <v>11</v>
      </c>
      <c r="E519" s="4" t="str">
        <f>"AXTC"</f>
        <v>AXTC</v>
      </c>
      <c r="F519" s="4" t="s">
        <v>535</v>
      </c>
      <c r="G519" s="4">
        <v>14</v>
      </c>
      <c r="H519" s="4">
        <v>1</v>
      </c>
      <c r="I519" s="4">
        <v>0</v>
      </c>
    </row>
    <row r="520" spans="1:9" ht="24" thickBot="1" x14ac:dyDescent="0.3">
      <c r="A520" s="3">
        <v>30</v>
      </c>
      <c r="B520" s="3" t="str">
        <f>"19938002H"</f>
        <v>19938002H</v>
      </c>
      <c r="C520" s="5" t="s">
        <v>537</v>
      </c>
      <c r="D520" s="4" t="s">
        <v>11</v>
      </c>
      <c r="E520" s="4" t="str">
        <f>"ASTC"</f>
        <v>ASTC</v>
      </c>
      <c r="F520" s="4" t="s">
        <v>535</v>
      </c>
      <c r="G520" s="4">
        <v>23</v>
      </c>
      <c r="H520" s="4">
        <v>7</v>
      </c>
      <c r="I520" s="4">
        <v>24</v>
      </c>
    </row>
    <row r="521" spans="1:9" ht="24" thickBot="1" x14ac:dyDescent="0.3">
      <c r="A521" s="3">
        <v>45</v>
      </c>
      <c r="B521" s="3" t="str">
        <f>"19838008D"</f>
        <v>19838008D</v>
      </c>
      <c r="C521" s="5" t="s">
        <v>538</v>
      </c>
      <c r="D521" s="4" t="s">
        <v>11</v>
      </c>
      <c r="E521" s="4" t="str">
        <f>"ASTP"</f>
        <v>ASTP</v>
      </c>
      <c r="F521" s="4" t="s">
        <v>535</v>
      </c>
      <c r="G521" s="4">
        <v>34</v>
      </c>
      <c r="H521" s="4">
        <v>6</v>
      </c>
      <c r="I521" s="4">
        <v>0</v>
      </c>
    </row>
    <row r="522" spans="1:9" ht="24" thickBot="1" x14ac:dyDescent="0.3">
      <c r="A522" s="3">
        <v>51</v>
      </c>
      <c r="B522" s="3" t="str">
        <f>"19818005J"</f>
        <v>19818005J</v>
      </c>
      <c r="C522" s="5" t="s">
        <v>539</v>
      </c>
      <c r="D522" s="4" t="s">
        <v>11</v>
      </c>
      <c r="E522" s="4" t="str">
        <f>"PRTC"</f>
        <v>PRTC</v>
      </c>
      <c r="F522" s="4" t="s">
        <v>535</v>
      </c>
      <c r="G522" s="4">
        <v>30</v>
      </c>
      <c r="H522" s="4">
        <v>0</v>
      </c>
      <c r="I522" s="4">
        <v>5</v>
      </c>
    </row>
    <row r="523" spans="1:9" ht="24" thickBot="1" x14ac:dyDescent="0.3">
      <c r="A523" s="3">
        <v>58</v>
      </c>
      <c r="B523" s="3" t="str">
        <f>"20168002E"</f>
        <v>20168002E</v>
      </c>
      <c r="C523" s="5" t="s">
        <v>540</v>
      </c>
      <c r="D523" s="4" t="s">
        <v>11</v>
      </c>
      <c r="E523" s="4" t="str">
        <f>"AXTC"</f>
        <v>AXTC</v>
      </c>
      <c r="F523" s="4" t="s">
        <v>535</v>
      </c>
      <c r="G523" s="4">
        <v>4</v>
      </c>
      <c r="H523" s="4">
        <v>6</v>
      </c>
      <c r="I523" s="4">
        <v>0</v>
      </c>
    </row>
    <row r="524" spans="1:9" ht="24" thickBot="1" x14ac:dyDescent="0.3">
      <c r="A524" s="3">
        <v>73</v>
      </c>
      <c r="B524" s="3" t="str">
        <f>"20208005J"</f>
        <v>20208005J</v>
      </c>
      <c r="C524" s="5" t="s">
        <v>541</v>
      </c>
      <c r="D524" s="4" t="s">
        <v>11</v>
      </c>
      <c r="E524" s="4" t="str">
        <f>"AXTP"</f>
        <v>AXTP</v>
      </c>
      <c r="F524" s="4" t="s">
        <v>535</v>
      </c>
      <c r="G524" s="4">
        <v>4</v>
      </c>
      <c r="H524" s="4">
        <v>6</v>
      </c>
      <c r="I524" s="4">
        <v>0</v>
      </c>
    </row>
    <row r="525" spans="1:9" ht="24" thickBot="1" x14ac:dyDescent="0.3">
      <c r="A525" s="3">
        <v>97</v>
      </c>
      <c r="B525" s="3" t="str">
        <f>"19898062E"</f>
        <v>19898062E</v>
      </c>
      <c r="C525" s="5" t="s">
        <v>542</v>
      </c>
      <c r="D525" s="4" t="s">
        <v>11</v>
      </c>
      <c r="E525" s="4" t="str">
        <f>"PRTC"</f>
        <v>PRTC</v>
      </c>
      <c r="F525" s="4" t="s">
        <v>535</v>
      </c>
      <c r="G525" s="4">
        <v>23</v>
      </c>
      <c r="H525" s="4">
        <v>7</v>
      </c>
      <c r="I525" s="4">
        <v>13</v>
      </c>
    </row>
    <row r="526" spans="1:9" ht="24" thickBot="1" x14ac:dyDescent="0.3">
      <c r="A526" s="3">
        <v>102</v>
      </c>
      <c r="B526" s="3" t="str">
        <f>"20178065J"</f>
        <v>20178065J</v>
      </c>
      <c r="C526" s="5" t="s">
        <v>543</v>
      </c>
      <c r="D526" s="4" t="s">
        <v>11</v>
      </c>
      <c r="E526" s="4" t="str">
        <f>"AXTP"</f>
        <v>AXTP</v>
      </c>
      <c r="F526" s="4" t="s">
        <v>535</v>
      </c>
      <c r="G526" s="4">
        <v>3</v>
      </c>
      <c r="H526" s="4">
        <v>6</v>
      </c>
      <c r="I526" s="4">
        <v>17</v>
      </c>
    </row>
    <row r="527" spans="1:9" ht="24" thickBot="1" x14ac:dyDescent="0.3">
      <c r="A527" s="3">
        <v>106</v>
      </c>
      <c r="B527" s="3" t="str">
        <f>"20028064H"</f>
        <v>20028064H</v>
      </c>
      <c r="C527" s="5" t="s">
        <v>544</v>
      </c>
      <c r="D527" s="4" t="s">
        <v>11</v>
      </c>
      <c r="E527" s="4" t="str">
        <f>"AXTP"</f>
        <v>AXTP</v>
      </c>
      <c r="F527" s="4" t="s">
        <v>535</v>
      </c>
      <c r="G527" s="4">
        <v>13</v>
      </c>
      <c r="H527" s="4">
        <v>4</v>
      </c>
      <c r="I527" s="4">
        <v>0</v>
      </c>
    </row>
    <row r="528" spans="1:9" ht="24" thickBot="1" x14ac:dyDescent="0.3">
      <c r="A528" s="3">
        <v>110</v>
      </c>
      <c r="B528" s="3" t="str">
        <f>"20058062C"</f>
        <v>20058062C</v>
      </c>
      <c r="C528" s="5" t="s">
        <v>545</v>
      </c>
      <c r="D528" s="4" t="s">
        <v>11</v>
      </c>
      <c r="E528" s="4" t="str">
        <f>"AXTC"</f>
        <v>AXTC</v>
      </c>
      <c r="F528" s="4" t="s">
        <v>535</v>
      </c>
      <c r="G528" s="4">
        <v>3</v>
      </c>
      <c r="H528" s="4">
        <v>6</v>
      </c>
      <c r="I528" s="4">
        <v>17</v>
      </c>
    </row>
    <row r="529" spans="1:9" ht="24" thickBot="1" x14ac:dyDescent="0.3">
      <c r="A529" s="3">
        <v>126</v>
      </c>
      <c r="B529" s="3" t="str">
        <f>"19808063G"</f>
        <v>19808063G</v>
      </c>
      <c r="C529" s="5" t="s">
        <v>546</v>
      </c>
      <c r="D529" s="4" t="s">
        <v>11</v>
      </c>
      <c r="E529" s="4" t="str">
        <f>"PRTC"</f>
        <v>PRTC</v>
      </c>
      <c r="F529" s="4" t="s">
        <v>535</v>
      </c>
      <c r="G529" s="4">
        <v>30</v>
      </c>
      <c r="H529" s="4">
        <v>0</v>
      </c>
      <c r="I529" s="4">
        <v>5</v>
      </c>
    </row>
    <row r="530" spans="1:9" ht="24" thickBot="1" x14ac:dyDescent="0.3">
      <c r="A530" s="3">
        <v>142</v>
      </c>
      <c r="B530" s="3" t="str">
        <f>"19848122D"</f>
        <v>19848122D</v>
      </c>
      <c r="C530" s="5" t="s">
        <v>547</v>
      </c>
      <c r="D530" s="4" t="s">
        <v>11</v>
      </c>
      <c r="E530" s="4" t="str">
        <f>"PRTC"</f>
        <v>PRTC</v>
      </c>
      <c r="F530" s="4" t="s">
        <v>535</v>
      </c>
      <c r="G530" s="4">
        <v>27</v>
      </c>
      <c r="H530" s="4">
        <v>6</v>
      </c>
      <c r="I530" s="4">
        <v>29</v>
      </c>
    </row>
    <row r="531" spans="1:9" ht="24" thickBot="1" x14ac:dyDescent="0.3">
      <c r="A531" s="3">
        <v>146</v>
      </c>
      <c r="B531" s="3" t="str">
        <f>"19808148B"</f>
        <v>19808148B</v>
      </c>
      <c r="C531" s="5" t="s">
        <v>548</v>
      </c>
      <c r="D531" s="4" t="s">
        <v>11</v>
      </c>
      <c r="E531" s="4" t="str">
        <f>"AXTC"</f>
        <v>AXTC</v>
      </c>
      <c r="F531" s="4" t="s">
        <v>535</v>
      </c>
      <c r="G531" s="4">
        <v>14</v>
      </c>
      <c r="H531" s="4">
        <v>6</v>
      </c>
      <c r="I531" s="4">
        <v>0</v>
      </c>
    </row>
    <row r="532" spans="1:9" ht="24" thickBot="1" x14ac:dyDescent="0.3">
      <c r="A532" s="3">
        <v>151</v>
      </c>
      <c r="B532" s="3" t="str">
        <f>"19958122I"</f>
        <v>19958122I</v>
      </c>
      <c r="C532" s="5" t="s">
        <v>549</v>
      </c>
      <c r="D532" s="4" t="s">
        <v>11</v>
      </c>
      <c r="E532" s="4" t="str">
        <f>"AXTC"</f>
        <v>AXTC</v>
      </c>
      <c r="F532" s="4" t="s">
        <v>535</v>
      </c>
      <c r="G532" s="4">
        <v>23</v>
      </c>
      <c r="H532" s="4">
        <v>7</v>
      </c>
      <c r="I532" s="4">
        <v>17</v>
      </c>
    </row>
    <row r="533" spans="1:9" ht="24" thickBot="1" x14ac:dyDescent="0.3">
      <c r="A533" s="3">
        <v>168</v>
      </c>
      <c r="B533" s="3" t="str">
        <f>"19868131I"</f>
        <v>19868131I</v>
      </c>
      <c r="C533" s="5" t="s">
        <v>550</v>
      </c>
      <c r="D533" s="4" t="s">
        <v>11</v>
      </c>
      <c r="E533" s="4" t="str">
        <f>"AXTC"</f>
        <v>AXTC</v>
      </c>
      <c r="F533" s="4" t="s">
        <v>535</v>
      </c>
      <c r="G533" s="4">
        <v>16</v>
      </c>
      <c r="H533" s="4">
        <v>6</v>
      </c>
      <c r="I533" s="4">
        <v>0</v>
      </c>
    </row>
    <row r="534" spans="1:9" ht="24" thickBot="1" x14ac:dyDescent="0.3">
      <c r="A534" s="3">
        <v>177</v>
      </c>
      <c r="B534" s="3" t="str">
        <f>"19998123F"</f>
        <v>19998123F</v>
      </c>
      <c r="C534" s="5" t="s">
        <v>551</v>
      </c>
      <c r="D534" s="4" t="s">
        <v>11</v>
      </c>
      <c r="E534" s="4" t="str">
        <f>"AXTP"</f>
        <v>AXTP</v>
      </c>
      <c r="F534" s="4" t="s">
        <v>535</v>
      </c>
      <c r="G534" s="4">
        <v>4</v>
      </c>
      <c r="H534" s="4">
        <v>6</v>
      </c>
      <c r="I534" s="4">
        <v>0</v>
      </c>
    </row>
    <row r="535" spans="1:9" ht="24" thickBot="1" x14ac:dyDescent="0.3">
      <c r="A535" s="3">
        <v>178</v>
      </c>
      <c r="B535" s="3" t="str">
        <f>"19788124F"</f>
        <v>19788124F</v>
      </c>
      <c r="C535" s="5" t="s">
        <v>552</v>
      </c>
      <c r="D535" s="4" t="s">
        <v>11</v>
      </c>
      <c r="E535" s="4" t="str">
        <f>"PRTP"</f>
        <v>PRTP</v>
      </c>
      <c r="F535" s="4" t="s">
        <v>535</v>
      </c>
      <c r="G535" s="4">
        <v>42</v>
      </c>
      <c r="H535" s="4">
        <v>8</v>
      </c>
      <c r="I535" s="4">
        <v>0</v>
      </c>
    </row>
    <row r="536" spans="1:9" ht="24" thickBot="1" x14ac:dyDescent="0.3">
      <c r="A536" s="3">
        <v>187</v>
      </c>
      <c r="B536" s="3" t="str">
        <f>"19788136D"</f>
        <v>19788136D</v>
      </c>
      <c r="C536" s="5" t="s">
        <v>553</v>
      </c>
      <c r="D536" s="4" t="s">
        <v>11</v>
      </c>
      <c r="E536" s="4" t="str">
        <f>"PRTC"</f>
        <v>PRTC</v>
      </c>
      <c r="F536" s="4" t="s">
        <v>535</v>
      </c>
      <c r="G536" s="4">
        <v>13</v>
      </c>
      <c r="H536" s="4">
        <v>1</v>
      </c>
      <c r="I536" s="4">
        <v>21</v>
      </c>
    </row>
    <row r="537" spans="1:9" ht="24" thickBot="1" x14ac:dyDescent="0.3">
      <c r="A537" s="3">
        <v>231</v>
      </c>
      <c r="B537" s="3" t="str">
        <f>"19768152D"</f>
        <v>19768152D</v>
      </c>
      <c r="C537" s="5" t="s">
        <v>554</v>
      </c>
      <c r="D537" s="4" t="s">
        <v>11</v>
      </c>
      <c r="E537" s="4" t="str">
        <f>"PRTP"</f>
        <v>PRTP</v>
      </c>
      <c r="F537" s="4" t="s">
        <v>535</v>
      </c>
      <c r="G537" s="4">
        <v>35</v>
      </c>
      <c r="H537" s="4">
        <v>8</v>
      </c>
      <c r="I537" s="4">
        <v>0</v>
      </c>
    </row>
    <row r="538" spans="1:9" ht="24" thickBot="1" x14ac:dyDescent="0.3">
      <c r="A538" s="3">
        <v>269</v>
      </c>
      <c r="B538" s="3" t="str">
        <f>"19978129I"</f>
        <v>19978129I</v>
      </c>
      <c r="C538" s="5" t="s">
        <v>555</v>
      </c>
      <c r="D538" s="4" t="s">
        <v>11</v>
      </c>
      <c r="E538" s="4" t="str">
        <f>"AXTC"</f>
        <v>AXTC</v>
      </c>
      <c r="F538" s="4" t="s">
        <v>535</v>
      </c>
      <c r="G538" s="4">
        <v>16</v>
      </c>
      <c r="H538" s="4">
        <v>6</v>
      </c>
      <c r="I538" s="4">
        <v>0</v>
      </c>
    </row>
    <row r="539" spans="1:9" ht="24" thickBot="1" x14ac:dyDescent="0.3">
      <c r="A539" s="3">
        <v>297</v>
      </c>
      <c r="B539" s="3" t="str">
        <f>"20088211G"</f>
        <v>20088211G</v>
      </c>
      <c r="C539" s="5" t="s">
        <v>556</v>
      </c>
      <c r="D539" s="4" t="s">
        <v>11</v>
      </c>
      <c r="E539" s="4" t="str">
        <f>"AXTP"</f>
        <v>AXTP</v>
      </c>
      <c r="F539" s="4" t="s">
        <v>535</v>
      </c>
      <c r="G539" s="4">
        <v>16</v>
      </c>
      <c r="H539" s="4">
        <v>6</v>
      </c>
      <c r="I539" s="4">
        <v>0</v>
      </c>
    </row>
    <row r="540" spans="1:9" ht="24" thickBot="1" x14ac:dyDescent="0.3">
      <c r="A540" s="3">
        <v>301</v>
      </c>
      <c r="B540" s="3" t="str">
        <f>"19928216E"</f>
        <v>19928216E</v>
      </c>
      <c r="C540" s="5" t="s">
        <v>557</v>
      </c>
      <c r="D540" s="4" t="s">
        <v>11</v>
      </c>
      <c r="E540" s="4" t="str">
        <f>"AXTC"</f>
        <v>AXTC</v>
      </c>
      <c r="F540" s="4" t="s">
        <v>535</v>
      </c>
      <c r="G540" s="4">
        <v>16</v>
      </c>
      <c r="H540" s="4">
        <v>6</v>
      </c>
      <c r="I540" s="4">
        <v>0</v>
      </c>
    </row>
    <row r="541" spans="1:9" ht="24" thickBot="1" x14ac:dyDescent="0.3">
      <c r="A541" s="3">
        <v>312</v>
      </c>
      <c r="B541" s="3" t="str">
        <f>"19888215C"</f>
        <v>19888215C</v>
      </c>
      <c r="C541" s="5" t="s">
        <v>558</v>
      </c>
      <c r="D541" s="4" t="s">
        <v>11</v>
      </c>
      <c r="E541" s="4" t="str">
        <f>"PRTC"</f>
        <v>PRTC</v>
      </c>
      <c r="F541" s="4" t="s">
        <v>535</v>
      </c>
      <c r="G541" s="4">
        <v>23</v>
      </c>
      <c r="H541" s="4">
        <v>8</v>
      </c>
      <c r="I541" s="4">
        <v>1</v>
      </c>
    </row>
    <row r="542" spans="1:9" ht="24" thickBot="1" x14ac:dyDescent="0.3">
      <c r="A542" s="3">
        <v>314</v>
      </c>
      <c r="B542" s="3" t="str">
        <f>"20068211A"</f>
        <v>20068211A</v>
      </c>
      <c r="C542" s="5" t="s">
        <v>559</v>
      </c>
      <c r="D542" s="4" t="s">
        <v>11</v>
      </c>
      <c r="E542" s="4" t="str">
        <f>"AXTP"</f>
        <v>AXTP</v>
      </c>
      <c r="F542" s="4" t="s">
        <v>535</v>
      </c>
      <c r="G542" s="4">
        <v>4</v>
      </c>
      <c r="H542" s="4">
        <v>6</v>
      </c>
      <c r="I542" s="4">
        <v>0</v>
      </c>
    </row>
    <row r="543" spans="1:9" ht="24" thickBot="1" x14ac:dyDescent="0.3">
      <c r="A543" s="3">
        <v>331</v>
      </c>
      <c r="B543" s="3" t="str">
        <f>"19978251I"</f>
        <v>19978251I</v>
      </c>
      <c r="C543" s="5" t="s">
        <v>560</v>
      </c>
      <c r="D543" s="4" t="s">
        <v>11</v>
      </c>
      <c r="E543" s="4" t="str">
        <f>"AXTC"</f>
        <v>AXTC</v>
      </c>
      <c r="F543" s="4" t="s">
        <v>535</v>
      </c>
      <c r="G543" s="4">
        <v>4</v>
      </c>
      <c r="H543" s="4">
        <v>6</v>
      </c>
      <c r="I543" s="4">
        <v>0</v>
      </c>
    </row>
    <row r="544" spans="1:9" ht="24" thickBot="1" x14ac:dyDescent="0.3">
      <c r="A544" s="3">
        <v>382</v>
      </c>
      <c r="B544" s="3" t="str">
        <f>"20138304C"</f>
        <v>20138304C</v>
      </c>
      <c r="C544" s="5" t="s">
        <v>561</v>
      </c>
      <c r="D544" s="4" t="s">
        <v>11</v>
      </c>
      <c r="E544" s="4" t="str">
        <f>"AXTC"</f>
        <v>AXTC</v>
      </c>
      <c r="F544" s="4" t="s">
        <v>535</v>
      </c>
      <c r="G544" s="4">
        <v>4</v>
      </c>
      <c r="H544" s="4">
        <v>6</v>
      </c>
      <c r="I544" s="4">
        <v>0</v>
      </c>
    </row>
    <row r="545" spans="1:9" ht="24" thickBot="1" x14ac:dyDescent="0.3">
      <c r="A545" s="3">
        <v>425</v>
      </c>
      <c r="B545" s="3" t="str">
        <f>"19868303D"</f>
        <v>19868303D</v>
      </c>
      <c r="C545" s="5" t="s">
        <v>562</v>
      </c>
      <c r="D545" s="4" t="s">
        <v>11</v>
      </c>
      <c r="E545" s="4" t="str">
        <f>"PRTC"</f>
        <v>PRTC</v>
      </c>
      <c r="F545" s="4" t="s">
        <v>535</v>
      </c>
      <c r="G545" s="4">
        <v>14</v>
      </c>
      <c r="H545" s="4">
        <v>1</v>
      </c>
      <c r="I545" s="4">
        <v>0</v>
      </c>
    </row>
    <row r="546" spans="1:9" ht="24" thickBot="1" x14ac:dyDescent="0.3">
      <c r="A546" s="3">
        <v>466</v>
      </c>
      <c r="B546" s="3" t="str">
        <f>"19808357K"</f>
        <v>19808357K</v>
      </c>
      <c r="C546" s="5" t="s">
        <v>563</v>
      </c>
      <c r="D546" s="4" t="s">
        <v>11</v>
      </c>
      <c r="E546" s="4" t="str">
        <f>"PRTP"</f>
        <v>PRTP</v>
      </c>
      <c r="F546" s="4" t="s">
        <v>535</v>
      </c>
      <c r="G546" s="4">
        <v>27</v>
      </c>
      <c r="H546" s="4">
        <v>0</v>
      </c>
      <c r="I546" s="4">
        <v>29</v>
      </c>
    </row>
    <row r="547" spans="1:9" ht="24" thickBot="1" x14ac:dyDescent="0.3">
      <c r="A547" s="3">
        <v>482</v>
      </c>
      <c r="B547" s="3" t="str">
        <f>"19788403B"</f>
        <v>19788403B</v>
      </c>
      <c r="C547" s="5" t="s">
        <v>564</v>
      </c>
      <c r="D547" s="4" t="s">
        <v>11</v>
      </c>
      <c r="E547" s="4" t="str">
        <f>"ASTC"</f>
        <v>ASTC</v>
      </c>
      <c r="F547" s="4" t="s">
        <v>535</v>
      </c>
      <c r="G547" s="4">
        <v>13</v>
      </c>
      <c r="H547" s="4">
        <v>10</v>
      </c>
      <c r="I547" s="4">
        <v>2</v>
      </c>
    </row>
    <row r="548" spans="1:9" ht="24" thickBot="1" x14ac:dyDescent="0.3">
      <c r="A548" s="3">
        <v>489</v>
      </c>
      <c r="B548" s="3" t="str">
        <f>"19718421A"</f>
        <v>19718421A</v>
      </c>
      <c r="C548" s="5" t="s">
        <v>565</v>
      </c>
      <c r="D548" s="4" t="s">
        <v>11</v>
      </c>
      <c r="E548" s="4" t="str">
        <f>"PRTP"</f>
        <v>PRTP</v>
      </c>
      <c r="F548" s="4" t="s">
        <v>535</v>
      </c>
      <c r="G548" s="4">
        <v>30</v>
      </c>
      <c r="H548" s="4">
        <v>0</v>
      </c>
      <c r="I548" s="4">
        <v>5</v>
      </c>
    </row>
    <row r="549" spans="1:9" ht="24" thickBot="1" x14ac:dyDescent="0.3">
      <c r="A549" s="3">
        <v>505</v>
      </c>
      <c r="B549" s="3" t="str">
        <f>"19948441D"</f>
        <v>19948441D</v>
      </c>
      <c r="C549" s="5" t="s">
        <v>566</v>
      </c>
      <c r="D549" s="4" t="s">
        <v>11</v>
      </c>
      <c r="E549" s="4" t="str">
        <f>"PRTC"</f>
        <v>PRTC</v>
      </c>
      <c r="F549" s="4" t="s">
        <v>535</v>
      </c>
      <c r="G549" s="4">
        <v>13</v>
      </c>
      <c r="H549" s="4">
        <v>2</v>
      </c>
      <c r="I549" s="4">
        <v>14</v>
      </c>
    </row>
    <row r="550" spans="1:9" ht="24" thickBot="1" x14ac:dyDescent="0.3">
      <c r="A550" s="3">
        <v>510</v>
      </c>
      <c r="B550" s="3" t="str">
        <f>"20198442C"</f>
        <v>20198442C</v>
      </c>
      <c r="C550" s="5" t="s">
        <v>567</v>
      </c>
      <c r="D550" s="4" t="s">
        <v>11</v>
      </c>
      <c r="E550" s="4" t="str">
        <f>"AXTP"</f>
        <v>AXTP</v>
      </c>
      <c r="F550" s="4" t="s">
        <v>535</v>
      </c>
      <c r="G550" s="4">
        <v>4</v>
      </c>
      <c r="H550" s="4">
        <v>6</v>
      </c>
      <c r="I550" s="4">
        <v>0</v>
      </c>
    </row>
    <row r="551" spans="1:9" ht="24" thickBot="1" x14ac:dyDescent="0.3">
      <c r="A551" s="3">
        <v>528</v>
      </c>
      <c r="B551" s="3" t="str">
        <f>"19808444K"</f>
        <v>19808444K</v>
      </c>
      <c r="C551" s="5" t="s">
        <v>568</v>
      </c>
      <c r="D551" s="4" t="s">
        <v>11</v>
      </c>
      <c r="E551" s="4" t="str">
        <f>"ASTC"</f>
        <v>ASTC</v>
      </c>
      <c r="F551" s="4" t="s">
        <v>535</v>
      </c>
      <c r="G551" s="4">
        <v>36</v>
      </c>
      <c r="H551" s="4">
        <v>10</v>
      </c>
      <c r="I551" s="4">
        <v>0</v>
      </c>
    </row>
    <row r="552" spans="1:9" ht="24" thickBot="1" x14ac:dyDescent="0.3">
      <c r="A552" s="3">
        <v>529</v>
      </c>
      <c r="B552" s="3" t="str">
        <f>"19778448C"</f>
        <v>19778448C</v>
      </c>
      <c r="C552" s="5" t="s">
        <v>569</v>
      </c>
      <c r="D552" s="4" t="s">
        <v>11</v>
      </c>
      <c r="E552" s="4" t="str">
        <f>"PRTC"</f>
        <v>PRTC</v>
      </c>
      <c r="F552" s="4" t="s">
        <v>535</v>
      </c>
      <c r="G552" s="4">
        <v>23</v>
      </c>
      <c r="H552" s="4">
        <v>8</v>
      </c>
      <c r="I552" s="4">
        <v>1</v>
      </c>
    </row>
    <row r="553" spans="1:9" ht="24" thickBot="1" x14ac:dyDescent="0.3">
      <c r="A553" s="3">
        <v>530</v>
      </c>
      <c r="B553" s="3" t="str">
        <f>"20138442G"</f>
        <v>20138442G</v>
      </c>
      <c r="C553" s="5" t="s">
        <v>570</v>
      </c>
      <c r="D553" s="4" t="s">
        <v>11</v>
      </c>
      <c r="E553" s="4" t="str">
        <f>"AXTP"</f>
        <v>AXTP</v>
      </c>
      <c r="F553" s="4" t="s">
        <v>535</v>
      </c>
      <c r="G553" s="4">
        <v>4</v>
      </c>
      <c r="H553" s="4">
        <v>6</v>
      </c>
      <c r="I553" s="4">
        <v>0</v>
      </c>
    </row>
    <row r="554" spans="1:9" ht="24" thickBot="1" x14ac:dyDescent="0.3">
      <c r="A554" s="3">
        <v>535</v>
      </c>
      <c r="B554" s="3" t="str">
        <f>"19908441C"</f>
        <v>19908441C</v>
      </c>
      <c r="C554" s="5" t="s">
        <v>571</v>
      </c>
      <c r="D554" s="4" t="s">
        <v>11</v>
      </c>
      <c r="E554" s="4" t="str">
        <f>"AXTP"</f>
        <v>AXTP</v>
      </c>
      <c r="F554" s="4" t="s">
        <v>535</v>
      </c>
      <c r="G554" s="4">
        <v>16</v>
      </c>
      <c r="H554" s="4">
        <v>6</v>
      </c>
      <c r="I554" s="4">
        <v>0</v>
      </c>
    </row>
    <row r="555" spans="1:9" ht="24" thickBot="1" x14ac:dyDescent="0.3">
      <c r="A555" s="3">
        <v>550</v>
      </c>
      <c r="B555" s="3" t="str">
        <f>"19948501G"</f>
        <v>19948501G</v>
      </c>
      <c r="C555" s="5" t="s">
        <v>572</v>
      </c>
      <c r="D555" s="4" t="s">
        <v>11</v>
      </c>
      <c r="E555" s="4" t="str">
        <f>"ASTC"</f>
        <v>ASTC</v>
      </c>
      <c r="F555" s="4" t="s">
        <v>535</v>
      </c>
      <c r="G555" s="4">
        <v>6</v>
      </c>
      <c r="H555" s="4">
        <v>4</v>
      </c>
      <c r="I555" s="4">
        <v>12</v>
      </c>
    </row>
    <row r="556" spans="1:9" ht="24" thickBot="1" x14ac:dyDescent="0.3">
      <c r="A556" s="3">
        <v>590</v>
      </c>
      <c r="B556" s="3" t="str">
        <f>"19778507J"</f>
        <v>19778507J</v>
      </c>
      <c r="C556" s="5" t="s">
        <v>573</v>
      </c>
      <c r="D556" s="4" t="s">
        <v>11</v>
      </c>
      <c r="E556" s="4" t="str">
        <f>"PRTC"</f>
        <v>PRTC</v>
      </c>
      <c r="F556" s="4" t="s">
        <v>535</v>
      </c>
      <c r="G556" s="4">
        <v>35</v>
      </c>
      <c r="H556" s="4">
        <v>11</v>
      </c>
      <c r="I556" s="4">
        <v>0</v>
      </c>
    </row>
    <row r="557" spans="1:9" ht="24" thickBot="1" x14ac:dyDescent="0.3">
      <c r="A557" s="3">
        <v>592</v>
      </c>
      <c r="B557" s="3" t="str">
        <f>"19938502K"</f>
        <v>19938502K</v>
      </c>
      <c r="C557" s="5" t="s">
        <v>574</v>
      </c>
      <c r="D557" s="4" t="s">
        <v>11</v>
      </c>
      <c r="E557" s="4" t="str">
        <f>"AXTC"</f>
        <v>AXTC</v>
      </c>
      <c r="F557" s="4" t="s">
        <v>535</v>
      </c>
      <c r="G557" s="4">
        <v>14</v>
      </c>
      <c r="H557" s="4">
        <v>1</v>
      </c>
      <c r="I557" s="4">
        <v>0</v>
      </c>
    </row>
    <row r="558" spans="1:9" ht="24" thickBot="1" x14ac:dyDescent="0.3">
      <c r="A558" s="3">
        <v>594</v>
      </c>
      <c r="B558" s="3" t="str">
        <f>"19858508B"</f>
        <v>19858508B</v>
      </c>
      <c r="C558" s="5" t="s">
        <v>575</v>
      </c>
      <c r="D558" s="4" t="s">
        <v>11</v>
      </c>
      <c r="E558" s="4" t="str">
        <f>"PRTC"</f>
        <v>PRTC</v>
      </c>
      <c r="F558" s="4" t="s">
        <v>535</v>
      </c>
      <c r="G558" s="4">
        <v>13</v>
      </c>
      <c r="H558" s="4">
        <v>2</v>
      </c>
      <c r="I558" s="4">
        <v>14</v>
      </c>
    </row>
    <row r="559" spans="1:9" ht="24" thickBot="1" x14ac:dyDescent="0.3">
      <c r="A559" s="3">
        <v>610</v>
      </c>
      <c r="B559" s="3" t="str">
        <f>"19938508I"</f>
        <v>19938508I</v>
      </c>
      <c r="C559" s="5" t="s">
        <v>576</v>
      </c>
      <c r="D559" s="4" t="s">
        <v>11</v>
      </c>
      <c r="E559" s="4" t="str">
        <f>"AXTC"</f>
        <v>AXTC</v>
      </c>
      <c r="F559" s="4" t="s">
        <v>535</v>
      </c>
      <c r="G559" s="4">
        <v>27</v>
      </c>
      <c r="H559" s="4">
        <v>3</v>
      </c>
      <c r="I559" s="4">
        <v>14</v>
      </c>
    </row>
    <row r="560" spans="1:9" ht="24" thickBot="1" x14ac:dyDescent="0.3">
      <c r="A560" s="3">
        <v>630</v>
      </c>
      <c r="B560" s="3" t="str">
        <f>"20028502E"</f>
        <v>20028502E</v>
      </c>
      <c r="C560" s="5" t="s">
        <v>577</v>
      </c>
      <c r="D560" s="4" t="s">
        <v>11</v>
      </c>
      <c r="E560" s="4" t="str">
        <f>"AXTP"</f>
        <v>AXTP</v>
      </c>
      <c r="F560" s="4" t="s">
        <v>535</v>
      </c>
      <c r="G560" s="4">
        <v>14</v>
      </c>
      <c r="H560" s="4">
        <v>1</v>
      </c>
      <c r="I560" s="4">
        <v>0</v>
      </c>
    </row>
    <row r="561" spans="1:9" ht="24" thickBot="1" x14ac:dyDescent="0.3">
      <c r="A561" s="3">
        <v>645</v>
      </c>
      <c r="B561" s="3" t="str">
        <f>"19858514B"</f>
        <v>19858514B</v>
      </c>
      <c r="C561" s="5" t="s">
        <v>578</v>
      </c>
      <c r="D561" s="4" t="s">
        <v>11</v>
      </c>
      <c r="E561" s="4" t="str">
        <f>"PRTC"</f>
        <v>PRTC</v>
      </c>
      <c r="F561" s="4" t="s">
        <v>535</v>
      </c>
      <c r="G561" s="4">
        <v>13</v>
      </c>
      <c r="H561" s="4">
        <v>1</v>
      </c>
      <c r="I561" s="4">
        <v>0</v>
      </c>
    </row>
    <row r="562" spans="1:9" ht="24" thickBot="1" x14ac:dyDescent="0.3">
      <c r="A562" s="3">
        <v>648</v>
      </c>
      <c r="B562" s="3" t="str">
        <f>"19868504J"</f>
        <v>19868504J</v>
      </c>
      <c r="C562" s="5" t="s">
        <v>579</v>
      </c>
      <c r="D562" s="4" t="s">
        <v>11</v>
      </c>
      <c r="E562" s="4" t="str">
        <f>"PRTC"</f>
        <v>PRTC</v>
      </c>
      <c r="F562" s="4" t="s">
        <v>535</v>
      </c>
      <c r="G562" s="4">
        <v>23</v>
      </c>
      <c r="H562" s="4">
        <v>2</v>
      </c>
      <c r="I562" s="4">
        <v>1</v>
      </c>
    </row>
    <row r="563" spans="1:9" ht="24" thickBot="1" x14ac:dyDescent="0.3">
      <c r="A563" s="3">
        <v>650</v>
      </c>
      <c r="B563" s="3" t="str">
        <f>"20128505F"</f>
        <v>20128505F</v>
      </c>
      <c r="C563" s="5" t="s">
        <v>580</v>
      </c>
      <c r="D563" s="4" t="s">
        <v>11</v>
      </c>
      <c r="E563" s="4" t="str">
        <f>"AXTP"</f>
        <v>AXTP</v>
      </c>
      <c r="F563" s="4" t="s">
        <v>535</v>
      </c>
      <c r="G563" s="4">
        <v>4</v>
      </c>
      <c r="H563" s="4">
        <v>6</v>
      </c>
      <c r="I563" s="4">
        <v>0</v>
      </c>
    </row>
    <row r="564" spans="1:9" ht="24" thickBot="1" x14ac:dyDescent="0.3">
      <c r="A564" s="3">
        <v>674</v>
      </c>
      <c r="B564" s="3" t="str">
        <f>"20218515K"</f>
        <v>20218515K</v>
      </c>
      <c r="C564" s="5" t="s">
        <v>581</v>
      </c>
      <c r="D564" s="4" t="s">
        <v>11</v>
      </c>
      <c r="E564" s="4" t="str">
        <f>"AXTP"</f>
        <v>AXTP</v>
      </c>
      <c r="F564" s="4" t="s">
        <v>535</v>
      </c>
      <c r="G564" s="4">
        <v>4</v>
      </c>
      <c r="H564" s="4">
        <v>6</v>
      </c>
      <c r="I564" s="4">
        <v>0</v>
      </c>
    </row>
    <row r="565" spans="1:9" ht="24" thickBot="1" x14ac:dyDescent="0.3">
      <c r="A565" s="3">
        <v>681</v>
      </c>
      <c r="B565" s="3" t="str">
        <f>"19858564J"</f>
        <v>19858564J</v>
      </c>
      <c r="C565" s="5" t="s">
        <v>582</v>
      </c>
      <c r="D565" s="4" t="s">
        <v>11</v>
      </c>
      <c r="E565" s="4" t="str">
        <f>"PRTP"</f>
        <v>PRTP</v>
      </c>
      <c r="F565" s="4" t="s">
        <v>535</v>
      </c>
      <c r="G565" s="4">
        <v>12</v>
      </c>
      <c r="H565" s="4">
        <v>5</v>
      </c>
      <c r="I565" s="4">
        <v>16</v>
      </c>
    </row>
    <row r="566" spans="1:9" ht="24" thickBot="1" x14ac:dyDescent="0.3">
      <c r="A566" s="3">
        <v>685</v>
      </c>
      <c r="B566" s="3" t="str">
        <f>"19898563D"</f>
        <v>19898563D</v>
      </c>
      <c r="C566" s="5" t="s">
        <v>583</v>
      </c>
      <c r="D566" s="4" t="s">
        <v>11</v>
      </c>
      <c r="E566" s="4" t="str">
        <f>"ASTC"</f>
        <v>ASTC</v>
      </c>
      <c r="F566" s="4" t="s">
        <v>535</v>
      </c>
      <c r="G566" s="4">
        <v>14</v>
      </c>
      <c r="H566" s="4">
        <v>1</v>
      </c>
      <c r="I566" s="4">
        <v>0</v>
      </c>
    </row>
    <row r="567" spans="1:9" ht="24" thickBot="1" x14ac:dyDescent="0.3">
      <c r="A567" s="3">
        <v>704</v>
      </c>
      <c r="B567" s="3" t="str">
        <f>"19978581I"</f>
        <v>19978581I</v>
      </c>
      <c r="C567" s="5" t="s">
        <v>584</v>
      </c>
      <c r="D567" s="4" t="s">
        <v>11</v>
      </c>
      <c r="E567" s="4" t="str">
        <f>"AXTC"</f>
        <v>AXTC</v>
      </c>
      <c r="F567" s="4" t="s">
        <v>535</v>
      </c>
      <c r="G567" s="4">
        <v>4</v>
      </c>
      <c r="H567" s="4">
        <v>6</v>
      </c>
      <c r="I567" s="4">
        <v>0</v>
      </c>
    </row>
    <row r="568" spans="1:9" ht="24" thickBot="1" x14ac:dyDescent="0.3">
      <c r="A568" s="3">
        <v>731</v>
      </c>
      <c r="B568" s="3" t="str">
        <f>"19848603B"</f>
        <v>19848603B</v>
      </c>
      <c r="C568" s="5" t="s">
        <v>585</v>
      </c>
      <c r="D568" s="4" t="s">
        <v>11</v>
      </c>
      <c r="E568" s="4" t="str">
        <f>"PRTC"</f>
        <v>PRTC</v>
      </c>
      <c r="F568" s="4" t="s">
        <v>535</v>
      </c>
      <c r="G568" s="4">
        <v>27</v>
      </c>
      <c r="H568" s="4">
        <v>6</v>
      </c>
      <c r="I568" s="4">
        <v>29</v>
      </c>
    </row>
    <row r="569" spans="1:9" ht="24" thickBot="1" x14ac:dyDescent="0.3">
      <c r="A569" s="3">
        <v>752</v>
      </c>
      <c r="B569" s="3" t="str">
        <f>"19938609J"</f>
        <v>19938609J</v>
      </c>
      <c r="C569" s="5" t="s">
        <v>586</v>
      </c>
      <c r="D569" s="4" t="s">
        <v>11</v>
      </c>
      <c r="E569" s="4" t="str">
        <f>"PRTC"</f>
        <v>PRTC</v>
      </c>
      <c r="F569" s="4" t="s">
        <v>535</v>
      </c>
      <c r="G569" s="4">
        <v>12</v>
      </c>
      <c r="H569" s="4">
        <v>10</v>
      </c>
      <c r="I569" s="4">
        <v>20</v>
      </c>
    </row>
    <row r="570" spans="1:9" ht="24" thickBot="1" x14ac:dyDescent="0.3">
      <c r="A570" s="3">
        <v>757</v>
      </c>
      <c r="B570" s="3" t="str">
        <f>"19728620G"</f>
        <v>19728620G</v>
      </c>
      <c r="C570" s="5" t="s">
        <v>587</v>
      </c>
      <c r="D570" s="4" t="s">
        <v>11</v>
      </c>
      <c r="E570" s="4" t="str">
        <f>"PRTC"</f>
        <v>PRTC</v>
      </c>
      <c r="F570" s="4" t="s">
        <v>535</v>
      </c>
      <c r="G570" s="4">
        <v>34</v>
      </c>
      <c r="H570" s="4">
        <v>4</v>
      </c>
      <c r="I570" s="4">
        <v>1</v>
      </c>
    </row>
    <row r="571" spans="1:9" ht="24" thickBot="1" x14ac:dyDescent="0.3">
      <c r="A571" s="3">
        <v>776</v>
      </c>
      <c r="B571" s="3" t="str">
        <f>"20228554I"</f>
        <v>20228554I</v>
      </c>
      <c r="C571" s="5" t="s">
        <v>588</v>
      </c>
      <c r="D571" s="4" t="s">
        <v>11</v>
      </c>
      <c r="E571" s="4" t="str">
        <f>"AXTC"</f>
        <v>AXTC</v>
      </c>
      <c r="F571" s="4" t="s">
        <v>535</v>
      </c>
      <c r="G571" s="4">
        <v>3</v>
      </c>
      <c r="H571" s="4">
        <v>6</v>
      </c>
      <c r="I571" s="4">
        <v>17</v>
      </c>
    </row>
    <row r="572" spans="1:9" ht="24" thickBot="1" x14ac:dyDescent="0.3">
      <c r="A572" s="3">
        <v>778</v>
      </c>
      <c r="B572" s="3" t="str">
        <f>"19898609D"</f>
        <v>19898609D</v>
      </c>
      <c r="C572" s="5" t="s">
        <v>589</v>
      </c>
      <c r="D572" s="4" t="s">
        <v>11</v>
      </c>
      <c r="E572" s="4" t="str">
        <f>"PRTC"</f>
        <v>PRTC</v>
      </c>
      <c r="F572" s="4" t="s">
        <v>535</v>
      </c>
      <c r="G572" s="4">
        <v>19</v>
      </c>
      <c r="H572" s="4">
        <v>11</v>
      </c>
      <c r="I572" s="4">
        <v>23</v>
      </c>
    </row>
    <row r="573" spans="1:9" ht="24" thickBot="1" x14ac:dyDescent="0.3">
      <c r="A573" s="3">
        <v>816</v>
      </c>
      <c r="B573" s="3" t="str">
        <f>"19798661D"</f>
        <v>19798661D</v>
      </c>
      <c r="C573" s="5" t="s">
        <v>590</v>
      </c>
      <c r="D573" s="4" t="s">
        <v>11</v>
      </c>
      <c r="E573" s="4" t="str">
        <f>"PRTC"</f>
        <v>PRTC</v>
      </c>
      <c r="F573" s="4" t="s">
        <v>535</v>
      </c>
      <c r="G573" s="4">
        <v>30</v>
      </c>
      <c r="H573" s="4">
        <v>0</v>
      </c>
      <c r="I573" s="4">
        <v>5</v>
      </c>
    </row>
    <row r="574" spans="1:9" ht="24" thickBot="1" x14ac:dyDescent="0.3">
      <c r="A574" s="3">
        <v>819</v>
      </c>
      <c r="B574" s="3" t="str">
        <f>"19858665K"</f>
        <v>19858665K</v>
      </c>
      <c r="C574" s="5" t="s">
        <v>591</v>
      </c>
      <c r="D574" s="4" t="s">
        <v>11</v>
      </c>
      <c r="E574" s="4" t="str">
        <f>"AXTC"</f>
        <v>AXTC</v>
      </c>
      <c r="F574" s="4" t="s">
        <v>535</v>
      </c>
      <c r="G574" s="4">
        <v>4</v>
      </c>
      <c r="H574" s="4">
        <v>6</v>
      </c>
      <c r="I574" s="4">
        <v>0</v>
      </c>
    </row>
    <row r="575" spans="1:9" ht="24" thickBot="1" x14ac:dyDescent="0.3">
      <c r="A575" s="3">
        <v>827</v>
      </c>
      <c r="B575" s="3" t="str">
        <f>"19948664C"</f>
        <v>19948664C</v>
      </c>
      <c r="C575" s="5" t="s">
        <v>592</v>
      </c>
      <c r="D575" s="4" t="s">
        <v>11</v>
      </c>
      <c r="E575" s="4" t="str">
        <f>"PRTC"</f>
        <v>PRTC</v>
      </c>
      <c r="F575" s="4" t="s">
        <v>535</v>
      </c>
      <c r="G575" s="4">
        <v>7</v>
      </c>
      <c r="H575" s="4">
        <v>3</v>
      </c>
      <c r="I575" s="4">
        <v>11</v>
      </c>
    </row>
    <row r="576" spans="1:9" ht="24" thickBot="1" x14ac:dyDescent="0.3">
      <c r="A576" s="3">
        <v>856</v>
      </c>
      <c r="B576" s="3" t="str">
        <f>"19898670E"</f>
        <v>19898670E</v>
      </c>
      <c r="C576" s="5" t="s">
        <v>593</v>
      </c>
      <c r="D576" s="4" t="s">
        <v>11</v>
      </c>
      <c r="E576" s="4" t="str">
        <f>"ASTC"</f>
        <v>ASTC</v>
      </c>
      <c r="F576" s="4" t="s">
        <v>535</v>
      </c>
      <c r="G576" s="4">
        <v>23</v>
      </c>
      <c r="H576" s="4">
        <v>7</v>
      </c>
      <c r="I576" s="4">
        <v>17</v>
      </c>
    </row>
    <row r="577" spans="1:9" ht="24" thickBot="1" x14ac:dyDescent="0.3">
      <c r="A577" s="3">
        <v>858</v>
      </c>
      <c r="B577" s="3" t="str">
        <f>"19978661B"</f>
        <v>19978661B</v>
      </c>
      <c r="C577" s="5" t="s">
        <v>594</v>
      </c>
      <c r="D577" s="4" t="s">
        <v>11</v>
      </c>
      <c r="E577" s="4" t="str">
        <f>"AXTC"</f>
        <v>AXTC</v>
      </c>
      <c r="F577" s="4" t="s">
        <v>535</v>
      </c>
      <c r="G577" s="4">
        <v>4</v>
      </c>
      <c r="H577" s="4">
        <v>6</v>
      </c>
      <c r="I577" s="4">
        <v>0</v>
      </c>
    </row>
    <row r="578" spans="1:9" ht="24" thickBot="1" x14ac:dyDescent="0.3">
      <c r="A578" s="3">
        <v>860</v>
      </c>
      <c r="B578" s="3" t="str">
        <f>"19898672H"</f>
        <v>19898672H</v>
      </c>
      <c r="C578" s="5" t="s">
        <v>595</v>
      </c>
      <c r="D578" s="4" t="s">
        <v>11</v>
      </c>
      <c r="E578" s="4" t="str">
        <f>"ASTC"</f>
        <v>ASTC</v>
      </c>
      <c r="F578" s="4" t="s">
        <v>535</v>
      </c>
      <c r="G578" s="4">
        <v>27</v>
      </c>
      <c r="H578" s="4">
        <v>1</v>
      </c>
      <c r="I578" s="4">
        <v>19</v>
      </c>
    </row>
    <row r="579" spans="1:9" ht="24" thickBot="1" x14ac:dyDescent="0.3">
      <c r="A579" s="3">
        <v>870</v>
      </c>
      <c r="B579" s="3" t="str">
        <f>"19858666G"</f>
        <v>19858666G</v>
      </c>
      <c r="C579" s="5" t="s">
        <v>596</v>
      </c>
      <c r="D579" s="4" t="s">
        <v>11</v>
      </c>
      <c r="E579" s="4" t="str">
        <f>"ASTC"</f>
        <v>ASTC</v>
      </c>
      <c r="F579" s="4" t="s">
        <v>535</v>
      </c>
      <c r="G579" s="4">
        <v>32</v>
      </c>
      <c r="H579" s="4">
        <v>1</v>
      </c>
      <c r="I579" s="4">
        <v>1</v>
      </c>
    </row>
    <row r="580" spans="1:9" ht="24" thickBot="1" x14ac:dyDescent="0.3">
      <c r="A580" s="3">
        <v>874</v>
      </c>
      <c r="B580" s="3" t="str">
        <f>"19728665K"</f>
        <v>19728665K</v>
      </c>
      <c r="C580" s="5" t="s">
        <v>597</v>
      </c>
      <c r="D580" s="4" t="s">
        <v>11</v>
      </c>
      <c r="E580" s="4" t="str">
        <f>"ASTC"</f>
        <v>ASTC</v>
      </c>
      <c r="F580" s="4" t="s">
        <v>535</v>
      </c>
      <c r="G580" s="4">
        <v>30</v>
      </c>
      <c r="H580" s="4">
        <v>0</v>
      </c>
      <c r="I580" s="4">
        <v>5</v>
      </c>
    </row>
    <row r="581" spans="1:9" ht="24" thickBot="1" x14ac:dyDescent="0.3">
      <c r="A581" s="3">
        <v>875</v>
      </c>
      <c r="B581" s="3" t="str">
        <f>"20228599B"</f>
        <v>20228599B</v>
      </c>
      <c r="C581" s="5" t="s">
        <v>598</v>
      </c>
      <c r="D581" s="4" t="s">
        <v>11</v>
      </c>
      <c r="E581" s="4" t="str">
        <f>"AXTC"</f>
        <v>AXTC</v>
      </c>
      <c r="F581" s="4" t="s">
        <v>535</v>
      </c>
      <c r="G581" s="4">
        <v>3</v>
      </c>
      <c r="H581" s="4">
        <v>6</v>
      </c>
      <c r="I581" s="4">
        <v>17</v>
      </c>
    </row>
    <row r="582" spans="1:9" ht="24" thickBot="1" x14ac:dyDescent="0.3">
      <c r="A582" s="3">
        <v>878</v>
      </c>
      <c r="B582" s="3" t="str">
        <f>"20188663G"</f>
        <v>20188663G</v>
      </c>
      <c r="C582" s="5" t="s">
        <v>599</v>
      </c>
      <c r="D582" s="4" t="s">
        <v>11</v>
      </c>
      <c r="E582" s="4" t="str">
        <f>"AXTC"</f>
        <v>AXTC</v>
      </c>
      <c r="F582" s="4" t="s">
        <v>535</v>
      </c>
      <c r="G582" s="4">
        <v>4</v>
      </c>
      <c r="H582" s="4">
        <v>6</v>
      </c>
      <c r="I582" s="4">
        <v>0</v>
      </c>
    </row>
    <row r="583" spans="1:9" ht="24" thickBot="1" x14ac:dyDescent="0.3">
      <c r="A583" s="3">
        <v>886</v>
      </c>
      <c r="B583" s="3" t="str">
        <f>"19858669F"</f>
        <v>19858669F</v>
      </c>
      <c r="C583" s="5" t="s">
        <v>600</v>
      </c>
      <c r="D583" s="4" t="s">
        <v>11</v>
      </c>
      <c r="E583" s="4" t="str">
        <f>"AXTC"</f>
        <v>AXTC</v>
      </c>
      <c r="F583" s="4" t="s">
        <v>535</v>
      </c>
      <c r="G583" s="4">
        <v>14</v>
      </c>
      <c r="H583" s="4">
        <v>6</v>
      </c>
      <c r="I583" s="4">
        <v>0</v>
      </c>
    </row>
    <row r="584" spans="1:9" ht="24" thickBot="1" x14ac:dyDescent="0.3">
      <c r="A584" s="3">
        <v>888</v>
      </c>
      <c r="B584" s="3" t="str">
        <f>"19818665J"</f>
        <v>19818665J</v>
      </c>
      <c r="C584" s="5" t="s">
        <v>601</v>
      </c>
      <c r="D584" s="4" t="s">
        <v>11</v>
      </c>
      <c r="E584" s="4" t="str">
        <f>"PRTC"</f>
        <v>PRTC</v>
      </c>
      <c r="F584" s="4" t="s">
        <v>535</v>
      </c>
      <c r="G584" s="4">
        <v>13</v>
      </c>
      <c r="H584" s="4">
        <v>2</v>
      </c>
      <c r="I584" s="4">
        <v>14</v>
      </c>
    </row>
    <row r="585" spans="1:9" ht="24" thickBot="1" x14ac:dyDescent="0.3">
      <c r="A585" s="3">
        <v>890</v>
      </c>
      <c r="B585" s="3" t="str">
        <f>"19818670C"</f>
        <v>19818670C</v>
      </c>
      <c r="C585" s="5" t="s">
        <v>602</v>
      </c>
      <c r="D585" s="4" t="s">
        <v>11</v>
      </c>
      <c r="E585" s="4" t="str">
        <f>"PRTC"</f>
        <v>PRTC</v>
      </c>
      <c r="F585" s="4" t="s">
        <v>535</v>
      </c>
      <c r="G585" s="4">
        <v>30</v>
      </c>
      <c r="H585" s="4">
        <v>0</v>
      </c>
      <c r="I585" s="4">
        <v>5</v>
      </c>
    </row>
    <row r="586" spans="1:9" ht="24" thickBot="1" x14ac:dyDescent="0.3">
      <c r="A586" s="3">
        <v>902</v>
      </c>
      <c r="B586" s="3" t="str">
        <f>"19778724K"</f>
        <v>19778724K</v>
      </c>
      <c r="C586" s="5" t="s">
        <v>603</v>
      </c>
      <c r="D586" s="4" t="s">
        <v>11</v>
      </c>
      <c r="E586" s="4" t="str">
        <f>"AXTC"</f>
        <v>AXTC</v>
      </c>
      <c r="F586" s="4" t="s">
        <v>535</v>
      </c>
      <c r="G586" s="4">
        <v>14</v>
      </c>
      <c r="H586" s="4">
        <v>5</v>
      </c>
      <c r="I586" s="4">
        <v>27</v>
      </c>
    </row>
    <row r="587" spans="1:9" ht="24" thickBot="1" x14ac:dyDescent="0.3">
      <c r="A587" s="3">
        <v>916</v>
      </c>
      <c r="B587" s="3" t="str">
        <f>"19948714K"</f>
        <v>19948714K</v>
      </c>
      <c r="C587" s="5" t="s">
        <v>604</v>
      </c>
      <c r="D587" s="4" t="s">
        <v>11</v>
      </c>
      <c r="E587" s="4" t="str">
        <f>"AXTC"</f>
        <v>AXTC</v>
      </c>
      <c r="F587" s="4" t="s">
        <v>535</v>
      </c>
      <c r="G587" s="4">
        <v>16</v>
      </c>
      <c r="H587" s="4">
        <v>6</v>
      </c>
      <c r="I587" s="4">
        <v>0</v>
      </c>
    </row>
    <row r="588" spans="1:9" ht="24" thickBot="1" x14ac:dyDescent="0.3">
      <c r="A588" s="3">
        <v>919</v>
      </c>
      <c r="B588" s="3" t="str">
        <f>"19848719K"</f>
        <v>19848719K</v>
      </c>
      <c r="C588" s="5" t="s">
        <v>605</v>
      </c>
      <c r="D588" s="4" t="s">
        <v>11</v>
      </c>
      <c r="E588" s="4" t="str">
        <f>"PRTP"</f>
        <v>PRTP</v>
      </c>
      <c r="F588" s="4" t="s">
        <v>535</v>
      </c>
      <c r="G588" s="4">
        <v>27</v>
      </c>
      <c r="H588" s="4">
        <v>6</v>
      </c>
      <c r="I588" s="4">
        <v>29</v>
      </c>
    </row>
    <row r="589" spans="1:9" ht="24" thickBot="1" x14ac:dyDescent="0.3">
      <c r="A589" s="3">
        <v>937</v>
      </c>
      <c r="B589" s="3" t="str">
        <f>"19978712F"</f>
        <v>19978712F</v>
      </c>
      <c r="C589" s="5" t="s">
        <v>606</v>
      </c>
      <c r="D589" s="4" t="s">
        <v>11</v>
      </c>
      <c r="E589" s="4" t="str">
        <f>"AXTC"</f>
        <v>AXTC</v>
      </c>
      <c r="F589" s="4" t="s">
        <v>535</v>
      </c>
      <c r="G589" s="4">
        <v>26</v>
      </c>
      <c r="H589" s="4">
        <v>10</v>
      </c>
      <c r="I589" s="4">
        <v>14</v>
      </c>
    </row>
    <row r="590" spans="1:9" ht="24" thickBot="1" x14ac:dyDescent="0.3">
      <c r="A590" s="3">
        <v>998</v>
      </c>
      <c r="B590" s="3" t="str">
        <f>"19768761K"</f>
        <v>19768761K</v>
      </c>
      <c r="C590" s="5" t="s">
        <v>607</v>
      </c>
      <c r="D590" s="4" t="s">
        <v>11</v>
      </c>
      <c r="E590" s="4" t="str">
        <f>"PRTC"</f>
        <v>PRTC</v>
      </c>
      <c r="F590" s="4" t="s">
        <v>535</v>
      </c>
      <c r="G590" s="4">
        <v>27</v>
      </c>
      <c r="H590" s="4">
        <v>0</v>
      </c>
      <c r="I590" s="4">
        <v>29</v>
      </c>
    </row>
    <row r="591" spans="1:9" ht="24" thickBot="1" x14ac:dyDescent="0.3">
      <c r="A591" s="3">
        <v>1001</v>
      </c>
      <c r="B591" s="3" t="str">
        <f>"19828762H"</f>
        <v>19828762H</v>
      </c>
      <c r="C591" s="5" t="s">
        <v>608</v>
      </c>
      <c r="D591" s="4" t="s">
        <v>11</v>
      </c>
      <c r="E591" s="4" t="str">
        <f>"ASTC"</f>
        <v>ASTC</v>
      </c>
      <c r="F591" s="4" t="s">
        <v>535</v>
      </c>
      <c r="G591" s="4">
        <v>32</v>
      </c>
      <c r="H591" s="4">
        <v>8</v>
      </c>
      <c r="I591" s="4">
        <v>0</v>
      </c>
    </row>
    <row r="592" spans="1:9" ht="24" thickBot="1" x14ac:dyDescent="0.3">
      <c r="A592" s="3">
        <v>1010</v>
      </c>
      <c r="B592" s="3" t="str">
        <f>"20068762H"</f>
        <v>20068762H</v>
      </c>
      <c r="C592" s="5" t="s">
        <v>609</v>
      </c>
      <c r="D592" s="4" t="s">
        <v>11</v>
      </c>
      <c r="E592" s="4" t="str">
        <f>"ASTC"</f>
        <v>ASTC</v>
      </c>
      <c r="F592" s="4" t="s">
        <v>535</v>
      </c>
      <c r="G592" s="4">
        <v>6</v>
      </c>
      <c r="H592" s="4">
        <v>4</v>
      </c>
      <c r="I592" s="4">
        <v>12</v>
      </c>
    </row>
    <row r="593" spans="1:9" ht="24" thickBot="1" x14ac:dyDescent="0.3">
      <c r="A593" s="3">
        <v>1064</v>
      </c>
      <c r="B593" s="3" t="str">
        <f>"19768829D"</f>
        <v>19768829D</v>
      </c>
      <c r="C593" s="5" t="s">
        <v>610</v>
      </c>
      <c r="D593" s="4" t="s">
        <v>11</v>
      </c>
      <c r="E593" s="4" t="str">
        <f>"ASTC"</f>
        <v>ASTC</v>
      </c>
      <c r="F593" s="4" t="s">
        <v>535</v>
      </c>
      <c r="G593" s="4">
        <v>27</v>
      </c>
      <c r="H593" s="4">
        <v>3</v>
      </c>
      <c r="I593" s="4">
        <v>14</v>
      </c>
    </row>
    <row r="594" spans="1:9" ht="24" thickBot="1" x14ac:dyDescent="0.3">
      <c r="A594" s="3">
        <v>1096</v>
      </c>
      <c r="B594" s="3" t="str">
        <f>"19808881A"</f>
        <v>19808881A</v>
      </c>
      <c r="C594" s="5" t="s">
        <v>611</v>
      </c>
      <c r="D594" s="4" t="s">
        <v>11</v>
      </c>
      <c r="E594" s="4" t="str">
        <f>"AXTC"</f>
        <v>AXTC</v>
      </c>
      <c r="F594" s="4" t="s">
        <v>535</v>
      </c>
      <c r="G594" s="4">
        <v>14</v>
      </c>
      <c r="H594" s="4">
        <v>6</v>
      </c>
      <c r="I594" s="4">
        <v>0</v>
      </c>
    </row>
    <row r="595" spans="1:9" ht="24" thickBot="1" x14ac:dyDescent="0.3">
      <c r="A595" s="3">
        <v>1099</v>
      </c>
      <c r="B595" s="3" t="str">
        <f>"19738923B"</f>
        <v>19738923B</v>
      </c>
      <c r="C595" s="5" t="s">
        <v>612</v>
      </c>
      <c r="D595" s="4" t="s">
        <v>11</v>
      </c>
      <c r="E595" s="4" t="str">
        <f>"PRTP"</f>
        <v>PRTP</v>
      </c>
      <c r="F595" s="4" t="s">
        <v>535</v>
      </c>
      <c r="G595" s="4">
        <v>42</v>
      </c>
      <c r="H595" s="4">
        <v>8</v>
      </c>
      <c r="I595" s="4">
        <v>0</v>
      </c>
    </row>
    <row r="596" spans="1:9" ht="24" thickBot="1" x14ac:dyDescent="0.3">
      <c r="A596" s="3">
        <v>1129</v>
      </c>
      <c r="B596" s="3" t="str">
        <f>"19888961G"</f>
        <v>19888961G</v>
      </c>
      <c r="C596" s="5" t="s">
        <v>613</v>
      </c>
      <c r="D596" s="4" t="s">
        <v>11</v>
      </c>
      <c r="E596" s="4" t="str">
        <f>"AXTP"</f>
        <v>AXTP</v>
      </c>
      <c r="F596" s="4" t="s">
        <v>535</v>
      </c>
      <c r="G596" s="4">
        <v>23</v>
      </c>
      <c r="H596" s="4">
        <v>7</v>
      </c>
      <c r="I596" s="4">
        <v>17</v>
      </c>
    </row>
    <row r="597" spans="1:9" ht="24" thickBot="1" x14ac:dyDescent="0.3">
      <c r="A597" s="3">
        <v>21</v>
      </c>
      <c r="B597" s="3" t="str">
        <f>"20038007G"</f>
        <v>20038007G</v>
      </c>
      <c r="C597" s="5" t="s">
        <v>614</v>
      </c>
      <c r="D597" s="4" t="s">
        <v>11</v>
      </c>
      <c r="E597" s="4" t="str">
        <f>"AXTP"</f>
        <v>AXTP</v>
      </c>
      <c r="F597" s="4" t="s">
        <v>615</v>
      </c>
      <c r="G597" s="4">
        <v>4</v>
      </c>
      <c r="H597" s="4">
        <v>6</v>
      </c>
      <c r="I597" s="4">
        <v>0</v>
      </c>
    </row>
    <row r="598" spans="1:9" ht="24" thickBot="1" x14ac:dyDescent="0.3">
      <c r="A598" s="3">
        <v>29</v>
      </c>
      <c r="B598" s="3" t="str">
        <f>"19918004E"</f>
        <v>19918004E</v>
      </c>
      <c r="C598" s="5" t="s">
        <v>616</v>
      </c>
      <c r="D598" s="4" t="s">
        <v>11</v>
      </c>
      <c r="E598" s="4" t="str">
        <f>"ASTC"</f>
        <v>ASTC</v>
      </c>
      <c r="F598" s="4" t="s">
        <v>615</v>
      </c>
      <c r="G598" s="4">
        <v>23</v>
      </c>
      <c r="H598" s="4">
        <v>8</v>
      </c>
      <c r="I598" s="4">
        <v>17</v>
      </c>
    </row>
    <row r="599" spans="1:9" ht="24" thickBot="1" x14ac:dyDescent="0.3">
      <c r="A599" s="3">
        <v>57</v>
      </c>
      <c r="B599" s="3" t="str">
        <f>"19898005A"</f>
        <v>19898005A</v>
      </c>
      <c r="C599" s="5" t="s">
        <v>617</v>
      </c>
      <c r="D599" s="4" t="s">
        <v>11</v>
      </c>
      <c r="E599" s="4" t="str">
        <f>"AXTC"</f>
        <v>AXTC</v>
      </c>
      <c r="F599" s="4" t="s">
        <v>615</v>
      </c>
      <c r="G599" s="4">
        <v>14</v>
      </c>
      <c r="H599" s="4">
        <v>1</v>
      </c>
      <c r="I599" s="4">
        <v>0</v>
      </c>
    </row>
    <row r="600" spans="1:9" ht="24" thickBot="1" x14ac:dyDescent="0.3">
      <c r="A600" s="3">
        <v>59</v>
      </c>
      <c r="B600" s="3" t="str">
        <f>"20148005I"</f>
        <v>20148005I</v>
      </c>
      <c r="C600" s="5" t="s">
        <v>618</v>
      </c>
      <c r="D600" s="4" t="s">
        <v>11</v>
      </c>
      <c r="E600" s="4" t="str">
        <f>"AXTP"</f>
        <v>AXTP</v>
      </c>
      <c r="F600" s="4" t="s">
        <v>615</v>
      </c>
      <c r="G600" s="4">
        <v>4</v>
      </c>
      <c r="H600" s="4">
        <v>6</v>
      </c>
      <c r="I600" s="4">
        <v>0</v>
      </c>
    </row>
    <row r="601" spans="1:9" ht="24" thickBot="1" x14ac:dyDescent="0.3">
      <c r="A601" s="3">
        <v>76</v>
      </c>
      <c r="B601" s="3" t="str">
        <f>"20128004G"</f>
        <v>20128004G</v>
      </c>
      <c r="C601" s="5" t="s">
        <v>619</v>
      </c>
      <c r="D601" s="4" t="s">
        <v>11</v>
      </c>
      <c r="E601" s="4" t="str">
        <f>"ASTC"</f>
        <v>ASTC</v>
      </c>
      <c r="F601" s="4" t="s">
        <v>615</v>
      </c>
      <c r="G601" s="4">
        <v>7</v>
      </c>
      <c r="H601" s="4">
        <v>3</v>
      </c>
      <c r="I601" s="4">
        <v>11</v>
      </c>
    </row>
    <row r="602" spans="1:9" ht="24" thickBot="1" x14ac:dyDescent="0.3">
      <c r="A602" s="3">
        <v>78</v>
      </c>
      <c r="B602" s="3" t="str">
        <f>"19938015B"</f>
        <v>19938015B</v>
      </c>
      <c r="C602" s="5" t="s">
        <v>620</v>
      </c>
      <c r="D602" s="4" t="s">
        <v>11</v>
      </c>
      <c r="E602" s="4" t="str">
        <f>"AXTC"</f>
        <v>AXTC</v>
      </c>
      <c r="F602" s="4" t="s">
        <v>615</v>
      </c>
      <c r="G602" s="4">
        <v>27</v>
      </c>
      <c r="H602" s="4">
        <v>3</v>
      </c>
      <c r="I602" s="4">
        <v>14</v>
      </c>
    </row>
    <row r="603" spans="1:9" ht="24" thickBot="1" x14ac:dyDescent="0.3">
      <c r="A603" s="3">
        <v>89</v>
      </c>
      <c r="B603" s="3" t="str">
        <f>"20178064C"</f>
        <v>20178064C</v>
      </c>
      <c r="C603" s="5" t="s">
        <v>621</v>
      </c>
      <c r="D603" s="4" t="s">
        <v>11</v>
      </c>
      <c r="E603" s="4" t="str">
        <f>"AXTC"</f>
        <v>AXTC</v>
      </c>
      <c r="F603" s="4" t="s">
        <v>615</v>
      </c>
      <c r="G603" s="4">
        <v>4</v>
      </c>
      <c r="H603" s="4">
        <v>6</v>
      </c>
      <c r="I603" s="4">
        <v>0</v>
      </c>
    </row>
    <row r="604" spans="1:9" ht="24" thickBot="1" x14ac:dyDescent="0.3">
      <c r="A604" s="3">
        <v>92</v>
      </c>
      <c r="B604" s="3" t="str">
        <f>"19918062E"</f>
        <v>19918062E</v>
      </c>
      <c r="C604" s="5" t="s">
        <v>622</v>
      </c>
      <c r="D604" s="4" t="s">
        <v>11</v>
      </c>
      <c r="E604" s="4" t="str">
        <f>"ASTP"</f>
        <v>ASTP</v>
      </c>
      <c r="F604" s="4" t="s">
        <v>615</v>
      </c>
      <c r="G604" s="4">
        <v>23</v>
      </c>
      <c r="H604" s="4">
        <v>8</v>
      </c>
      <c r="I604" s="4">
        <v>17</v>
      </c>
    </row>
    <row r="605" spans="1:9" ht="24" thickBot="1" x14ac:dyDescent="0.3">
      <c r="A605" s="3">
        <v>95</v>
      </c>
      <c r="B605" s="3" t="str">
        <f>"20098063K"</f>
        <v>20098063K</v>
      </c>
      <c r="C605" s="5" t="s">
        <v>623</v>
      </c>
      <c r="D605" s="4" t="s">
        <v>11</v>
      </c>
      <c r="E605" s="4" t="str">
        <f>"AXTP"</f>
        <v>AXTP</v>
      </c>
      <c r="F605" s="4" t="s">
        <v>615</v>
      </c>
      <c r="G605" s="4">
        <v>4</v>
      </c>
      <c r="H605" s="4">
        <v>6</v>
      </c>
      <c r="I605" s="4">
        <v>0</v>
      </c>
    </row>
    <row r="606" spans="1:9" ht="24" thickBot="1" x14ac:dyDescent="0.3">
      <c r="A606" s="3">
        <v>128</v>
      </c>
      <c r="B606" s="3" t="str">
        <f>"19848065K"</f>
        <v>19848065K</v>
      </c>
      <c r="C606" s="5" t="s">
        <v>624</v>
      </c>
      <c r="D606" s="4" t="s">
        <v>11</v>
      </c>
      <c r="E606" s="4" t="str">
        <f>"AXTP"</f>
        <v>AXTP</v>
      </c>
      <c r="F606" s="4" t="s">
        <v>615</v>
      </c>
      <c r="G606" s="4">
        <v>14</v>
      </c>
      <c r="H606" s="4">
        <v>9</v>
      </c>
      <c r="I606" s="4">
        <v>0</v>
      </c>
    </row>
    <row r="607" spans="1:9" ht="24" thickBot="1" x14ac:dyDescent="0.3">
      <c r="A607" s="3">
        <v>161</v>
      </c>
      <c r="B607" s="3" t="str">
        <f>"19798128D"</f>
        <v>19798128D</v>
      </c>
      <c r="C607" s="5" t="s">
        <v>625</v>
      </c>
      <c r="D607" s="4" t="s">
        <v>11</v>
      </c>
      <c r="E607" s="4" t="str">
        <f>"AXTP"</f>
        <v>AXTP</v>
      </c>
      <c r="F607" s="4" t="s">
        <v>615</v>
      </c>
      <c r="G607" s="4">
        <v>4</v>
      </c>
      <c r="H607" s="4">
        <v>6</v>
      </c>
      <c r="I607" s="4">
        <v>0</v>
      </c>
    </row>
    <row r="608" spans="1:9" ht="24" thickBot="1" x14ac:dyDescent="0.3">
      <c r="A608" s="3">
        <v>175</v>
      </c>
      <c r="B608" s="3" t="str">
        <f>"20088124G"</f>
        <v>20088124G</v>
      </c>
      <c r="C608" s="5" t="s">
        <v>626</v>
      </c>
      <c r="D608" s="4" t="s">
        <v>11</v>
      </c>
      <c r="E608" s="4" t="str">
        <f>"AXTC"</f>
        <v>AXTC</v>
      </c>
      <c r="F608" s="4" t="s">
        <v>615</v>
      </c>
      <c r="G608" s="4">
        <v>14</v>
      </c>
      <c r="H608" s="4">
        <v>1</v>
      </c>
      <c r="I608" s="4">
        <v>0</v>
      </c>
    </row>
    <row r="609" spans="1:9" ht="24" thickBot="1" x14ac:dyDescent="0.3">
      <c r="A609" s="3">
        <v>180</v>
      </c>
      <c r="B609" s="3" t="str">
        <f>"19858137D"</f>
        <v>19858137D</v>
      </c>
      <c r="C609" s="5" t="s">
        <v>627</v>
      </c>
      <c r="D609" s="4" t="s">
        <v>11</v>
      </c>
      <c r="E609" s="4" t="str">
        <f>"PRTC"</f>
        <v>PRTC</v>
      </c>
      <c r="F609" s="4" t="s">
        <v>615</v>
      </c>
      <c r="G609" s="4">
        <v>23</v>
      </c>
      <c r="H609" s="4">
        <v>8</v>
      </c>
      <c r="I609" s="4">
        <v>17</v>
      </c>
    </row>
    <row r="610" spans="1:9" ht="24" thickBot="1" x14ac:dyDescent="0.3">
      <c r="A610" s="3">
        <v>186</v>
      </c>
      <c r="B610" s="3" t="str">
        <f>"19958137F"</f>
        <v>19958137F</v>
      </c>
      <c r="C610" s="5" t="s">
        <v>628</v>
      </c>
      <c r="D610" s="4" t="s">
        <v>11</v>
      </c>
      <c r="E610" s="4" t="str">
        <f>"ASTC"</f>
        <v>ASTC</v>
      </c>
      <c r="F610" s="4" t="s">
        <v>615</v>
      </c>
      <c r="G610" s="4">
        <v>6</v>
      </c>
      <c r="H610" s="4">
        <v>4</v>
      </c>
      <c r="I610" s="4">
        <v>12</v>
      </c>
    </row>
    <row r="611" spans="1:9" ht="24" thickBot="1" x14ac:dyDescent="0.3">
      <c r="A611" s="3">
        <v>191</v>
      </c>
      <c r="B611" s="3" t="str">
        <f>"20208116F"</f>
        <v>20208116F</v>
      </c>
      <c r="C611" s="5" t="s">
        <v>629</v>
      </c>
      <c r="D611" s="4" t="s">
        <v>11</v>
      </c>
      <c r="E611" s="4" t="str">
        <f>"AXTP"</f>
        <v>AXTP</v>
      </c>
      <c r="F611" s="4" t="s">
        <v>615</v>
      </c>
      <c r="G611" s="4">
        <v>4</v>
      </c>
      <c r="H611" s="4">
        <v>6</v>
      </c>
      <c r="I611" s="4">
        <v>0</v>
      </c>
    </row>
    <row r="612" spans="1:9" ht="24" thickBot="1" x14ac:dyDescent="0.3">
      <c r="A612" s="3">
        <v>225</v>
      </c>
      <c r="B612" s="3" t="str">
        <f>"19908137B"</f>
        <v>19908137B</v>
      </c>
      <c r="C612" s="5" t="s">
        <v>630</v>
      </c>
      <c r="D612" s="4" t="s">
        <v>11</v>
      </c>
      <c r="E612" s="4" t="str">
        <f>"AXTC"</f>
        <v>AXTC</v>
      </c>
      <c r="F612" s="4" t="s">
        <v>615</v>
      </c>
      <c r="G612" s="4">
        <v>30</v>
      </c>
      <c r="H612" s="4">
        <v>8</v>
      </c>
      <c r="I612" s="4">
        <v>6</v>
      </c>
    </row>
    <row r="613" spans="1:9" ht="24" thickBot="1" x14ac:dyDescent="0.3">
      <c r="A613" s="3">
        <v>240</v>
      </c>
      <c r="B613" s="3" t="str">
        <f>"19888130H"</f>
        <v>19888130H</v>
      </c>
      <c r="C613" s="5" t="s">
        <v>631</v>
      </c>
      <c r="D613" s="4" t="s">
        <v>11</v>
      </c>
      <c r="E613" s="4" t="str">
        <f>"PRTC"</f>
        <v>PRTC</v>
      </c>
      <c r="F613" s="4" t="s">
        <v>615</v>
      </c>
      <c r="G613" s="4">
        <v>12</v>
      </c>
      <c r="H613" s="4">
        <v>0</v>
      </c>
      <c r="I613" s="4">
        <v>18</v>
      </c>
    </row>
    <row r="614" spans="1:9" ht="24" thickBot="1" x14ac:dyDescent="0.3">
      <c r="A614" s="3">
        <v>252</v>
      </c>
      <c r="B614" s="3" t="str">
        <f>"19978124G"</f>
        <v>19978124G</v>
      </c>
      <c r="C614" s="5" t="s">
        <v>632</v>
      </c>
      <c r="D614" s="4" t="s">
        <v>11</v>
      </c>
      <c r="E614" s="4" t="str">
        <f>"AXTP"</f>
        <v>AXTP</v>
      </c>
      <c r="F614" s="4" t="s">
        <v>615</v>
      </c>
      <c r="G614" s="4">
        <v>16</v>
      </c>
      <c r="H614" s="4">
        <v>6</v>
      </c>
      <c r="I614" s="4">
        <v>0</v>
      </c>
    </row>
    <row r="615" spans="1:9" ht="24" thickBot="1" x14ac:dyDescent="0.3">
      <c r="A615" s="3">
        <v>259</v>
      </c>
      <c r="B615" s="3" t="str">
        <f>"20168121D"</f>
        <v>20168121D</v>
      </c>
      <c r="C615" s="5" t="s">
        <v>633</v>
      </c>
      <c r="D615" s="4" t="s">
        <v>11</v>
      </c>
      <c r="E615" s="4" t="str">
        <f>"AXTP"</f>
        <v>AXTP</v>
      </c>
      <c r="F615" s="4" t="s">
        <v>615</v>
      </c>
      <c r="G615" s="4">
        <v>4</v>
      </c>
      <c r="H615" s="4">
        <v>6</v>
      </c>
      <c r="I615" s="4">
        <v>0</v>
      </c>
    </row>
    <row r="616" spans="1:9" ht="24" thickBot="1" x14ac:dyDescent="0.3">
      <c r="A616" s="3">
        <v>262</v>
      </c>
      <c r="B616" s="3" t="str">
        <f>"19868130B"</f>
        <v>19868130B</v>
      </c>
      <c r="C616" s="5" t="s">
        <v>634</v>
      </c>
      <c r="D616" s="4" t="s">
        <v>11</v>
      </c>
      <c r="E616" s="4" t="str">
        <f>"PRTP"</f>
        <v>PRTP</v>
      </c>
      <c r="F616" s="4" t="s">
        <v>615</v>
      </c>
      <c r="G616" s="4">
        <v>23</v>
      </c>
      <c r="H616" s="4">
        <v>5</v>
      </c>
      <c r="I616" s="4">
        <v>17</v>
      </c>
    </row>
    <row r="617" spans="1:9" ht="24" thickBot="1" x14ac:dyDescent="0.3">
      <c r="A617" s="3">
        <v>267</v>
      </c>
      <c r="B617" s="3" t="str">
        <f>"19908138I"</f>
        <v>19908138I</v>
      </c>
      <c r="C617" s="5" t="s">
        <v>635</v>
      </c>
      <c r="D617" s="4" t="s">
        <v>11</v>
      </c>
      <c r="E617" s="4" t="str">
        <f>"PRTC"</f>
        <v>PRTC</v>
      </c>
      <c r="F617" s="4" t="s">
        <v>615</v>
      </c>
      <c r="G617" s="4">
        <v>17</v>
      </c>
      <c r="H617" s="4">
        <v>1</v>
      </c>
      <c r="I617" s="4">
        <v>2</v>
      </c>
    </row>
    <row r="618" spans="1:9" ht="24" thickBot="1" x14ac:dyDescent="0.3">
      <c r="A618" s="3">
        <v>296</v>
      </c>
      <c r="B618" s="3" t="str">
        <f>"19818216K"</f>
        <v>19818216K</v>
      </c>
      <c r="C618" s="5" t="s">
        <v>636</v>
      </c>
      <c r="D618" s="4" t="s">
        <v>11</v>
      </c>
      <c r="E618" s="4" t="str">
        <f>"ASTC"</f>
        <v>ASTC</v>
      </c>
      <c r="F618" s="4" t="s">
        <v>615</v>
      </c>
      <c r="G618" s="4">
        <v>32</v>
      </c>
      <c r="H618" s="4">
        <v>8</v>
      </c>
      <c r="I618" s="4">
        <v>0</v>
      </c>
    </row>
    <row r="619" spans="1:9" ht="24" thickBot="1" x14ac:dyDescent="0.3">
      <c r="A619" s="3">
        <v>307</v>
      </c>
      <c r="B619" s="3" t="str">
        <f>"20208187K"</f>
        <v>20208187K</v>
      </c>
      <c r="C619" s="5" t="s">
        <v>637</v>
      </c>
      <c r="D619" s="4" t="s">
        <v>11</v>
      </c>
      <c r="E619" s="4" t="str">
        <f>"AXTP"</f>
        <v>AXTP</v>
      </c>
      <c r="F619" s="4" t="s">
        <v>615</v>
      </c>
      <c r="G619" s="4">
        <v>4</v>
      </c>
      <c r="H619" s="4">
        <v>6</v>
      </c>
      <c r="I619" s="4">
        <v>0</v>
      </c>
    </row>
    <row r="620" spans="1:9" ht="24" thickBot="1" x14ac:dyDescent="0.3">
      <c r="A620" s="3">
        <v>320</v>
      </c>
      <c r="B620" s="3" t="str">
        <f>"20118111E"</f>
        <v>20118111E</v>
      </c>
      <c r="C620" s="5" t="s">
        <v>638</v>
      </c>
      <c r="D620" s="4" t="s">
        <v>11</v>
      </c>
      <c r="E620" s="4" t="str">
        <f>"AXTC"</f>
        <v>AXTC</v>
      </c>
      <c r="F620" s="4" t="s">
        <v>615</v>
      </c>
      <c r="G620" s="4">
        <v>4</v>
      </c>
      <c r="H620" s="4">
        <v>6</v>
      </c>
      <c r="I620" s="4">
        <v>0</v>
      </c>
    </row>
    <row r="621" spans="1:9" ht="24" thickBot="1" x14ac:dyDescent="0.3">
      <c r="A621" s="3">
        <v>326</v>
      </c>
      <c r="B621" s="3" t="str">
        <f>"20178252D"</f>
        <v>20178252D</v>
      </c>
      <c r="C621" s="5" t="s">
        <v>639</v>
      </c>
      <c r="D621" s="4" t="s">
        <v>11</v>
      </c>
      <c r="E621" s="4" t="str">
        <f>"AXTC"</f>
        <v>AXTC</v>
      </c>
      <c r="F621" s="4" t="s">
        <v>615</v>
      </c>
      <c r="G621" s="4">
        <v>4</v>
      </c>
      <c r="H621" s="4">
        <v>6</v>
      </c>
      <c r="I621" s="4">
        <v>0</v>
      </c>
    </row>
    <row r="622" spans="1:9" ht="24" thickBot="1" x14ac:dyDescent="0.3">
      <c r="A622" s="3">
        <v>329</v>
      </c>
      <c r="B622" s="3" t="str">
        <f>"20178251H"</f>
        <v>20178251H</v>
      </c>
      <c r="C622" s="5" t="s">
        <v>640</v>
      </c>
      <c r="D622" s="4" t="s">
        <v>11</v>
      </c>
      <c r="E622" s="4" t="str">
        <f>"AXTC"</f>
        <v>AXTC</v>
      </c>
      <c r="F622" s="4" t="s">
        <v>615</v>
      </c>
      <c r="G622" s="4">
        <v>4</v>
      </c>
      <c r="H622" s="4">
        <v>6</v>
      </c>
      <c r="I622" s="4">
        <v>0</v>
      </c>
    </row>
    <row r="623" spans="1:9" ht="24" thickBot="1" x14ac:dyDescent="0.3">
      <c r="A623" s="3">
        <v>405</v>
      </c>
      <c r="B623" s="3" t="str">
        <f>"20128306C"</f>
        <v>20128306C</v>
      </c>
      <c r="C623" s="5" t="s">
        <v>641</v>
      </c>
      <c r="D623" s="4" t="s">
        <v>11</v>
      </c>
      <c r="E623" s="4" t="str">
        <f>"AXTP"</f>
        <v>AXTP</v>
      </c>
      <c r="F623" s="4" t="s">
        <v>615</v>
      </c>
      <c r="G623" s="4">
        <v>4</v>
      </c>
      <c r="H623" s="4">
        <v>6</v>
      </c>
      <c r="I623" s="4">
        <v>0</v>
      </c>
    </row>
    <row r="624" spans="1:9" ht="24" thickBot="1" x14ac:dyDescent="0.3">
      <c r="A624" s="3">
        <v>412</v>
      </c>
      <c r="B624" s="3" t="str">
        <f>"19888306I"</f>
        <v>19888306I</v>
      </c>
      <c r="C624" s="5" t="s">
        <v>642</v>
      </c>
      <c r="D624" s="4" t="s">
        <v>11</v>
      </c>
      <c r="E624" s="4" t="str">
        <f>"AXTC"</f>
        <v>AXTC</v>
      </c>
      <c r="F624" s="4" t="s">
        <v>615</v>
      </c>
      <c r="G624" s="4">
        <v>20</v>
      </c>
      <c r="H624" s="4">
        <v>4</v>
      </c>
      <c r="I624" s="4">
        <v>22</v>
      </c>
    </row>
    <row r="625" spans="1:9" ht="24" thickBot="1" x14ac:dyDescent="0.3">
      <c r="A625" s="3">
        <v>418</v>
      </c>
      <c r="B625" s="3" t="str">
        <f>"20208297K"</f>
        <v>20208297K</v>
      </c>
      <c r="C625" s="5" t="s">
        <v>643</v>
      </c>
      <c r="D625" s="4" t="s">
        <v>11</v>
      </c>
      <c r="E625" s="4" t="str">
        <f>"AXTP"</f>
        <v>AXTP</v>
      </c>
      <c r="F625" s="4" t="s">
        <v>615</v>
      </c>
      <c r="G625" s="4">
        <v>4</v>
      </c>
      <c r="H625" s="4">
        <v>6</v>
      </c>
      <c r="I625" s="4">
        <v>0</v>
      </c>
    </row>
    <row r="626" spans="1:9" ht="24" thickBot="1" x14ac:dyDescent="0.3">
      <c r="A626" s="3">
        <v>419</v>
      </c>
      <c r="B626" s="3" t="str">
        <f>"19898314D"</f>
        <v>19898314D</v>
      </c>
      <c r="C626" s="5" t="s">
        <v>644</v>
      </c>
      <c r="D626" s="4" t="s">
        <v>11</v>
      </c>
      <c r="E626" s="4" t="str">
        <f>"PRTP"</f>
        <v>PRTP</v>
      </c>
      <c r="F626" s="4" t="s">
        <v>615</v>
      </c>
      <c r="G626" s="4">
        <v>13</v>
      </c>
      <c r="H626" s="4">
        <v>2</v>
      </c>
      <c r="I626" s="4">
        <v>14</v>
      </c>
    </row>
    <row r="627" spans="1:9" ht="24" thickBot="1" x14ac:dyDescent="0.3">
      <c r="A627" s="3">
        <v>420</v>
      </c>
      <c r="B627" s="3" t="str">
        <f>"20028304I"</f>
        <v>20028304I</v>
      </c>
      <c r="C627" s="5" t="s">
        <v>645</v>
      </c>
      <c r="D627" s="4" t="s">
        <v>11</v>
      </c>
      <c r="E627" s="4" t="str">
        <f>"AXTC"</f>
        <v>AXTC</v>
      </c>
      <c r="F627" s="4" t="s">
        <v>615</v>
      </c>
      <c r="G627" s="4">
        <v>4</v>
      </c>
      <c r="H627" s="4">
        <v>6</v>
      </c>
      <c r="I627" s="4">
        <v>0</v>
      </c>
    </row>
    <row r="628" spans="1:9" ht="24" thickBot="1" x14ac:dyDescent="0.3">
      <c r="A628" s="3">
        <v>435</v>
      </c>
      <c r="B628" s="3" t="str">
        <f>"20148351D"</f>
        <v>20148351D</v>
      </c>
      <c r="C628" s="5" t="s">
        <v>646</v>
      </c>
      <c r="D628" s="4" t="s">
        <v>11</v>
      </c>
      <c r="E628" s="4" t="str">
        <f>"AXTP"</f>
        <v>AXTP</v>
      </c>
      <c r="F628" s="4" t="s">
        <v>615</v>
      </c>
      <c r="G628" s="4">
        <v>4</v>
      </c>
      <c r="H628" s="4">
        <v>6</v>
      </c>
      <c r="I628" s="4">
        <v>0</v>
      </c>
    </row>
    <row r="629" spans="1:9" ht="24" thickBot="1" x14ac:dyDescent="0.3">
      <c r="A629" s="3">
        <v>453</v>
      </c>
      <c r="B629" s="3" t="str">
        <f>"19918354F"</f>
        <v>19918354F</v>
      </c>
      <c r="C629" s="5" t="s">
        <v>647</v>
      </c>
      <c r="D629" s="4" t="s">
        <v>11</v>
      </c>
      <c r="E629" s="4" t="str">
        <f>"PRTP"</f>
        <v>PRTP</v>
      </c>
      <c r="F629" s="4" t="s">
        <v>615</v>
      </c>
      <c r="G629" s="4">
        <v>13</v>
      </c>
      <c r="H629" s="4">
        <v>2</v>
      </c>
      <c r="I629" s="4">
        <v>14</v>
      </c>
    </row>
    <row r="630" spans="1:9" ht="24" thickBot="1" x14ac:dyDescent="0.3">
      <c r="A630" s="3">
        <v>462</v>
      </c>
      <c r="B630" s="3" t="str">
        <f>"19898357E"</f>
        <v>19898357E</v>
      </c>
      <c r="C630" s="5" t="s">
        <v>648</v>
      </c>
      <c r="D630" s="4" t="s">
        <v>11</v>
      </c>
      <c r="E630" s="4" t="str">
        <f>"AXTC"</f>
        <v>AXTC</v>
      </c>
      <c r="F630" s="4" t="s">
        <v>615</v>
      </c>
      <c r="G630" s="4">
        <v>20</v>
      </c>
      <c r="H630" s="4">
        <v>4</v>
      </c>
      <c r="I630" s="4">
        <v>22</v>
      </c>
    </row>
    <row r="631" spans="1:9" ht="24" thickBot="1" x14ac:dyDescent="0.3">
      <c r="A631" s="3">
        <v>488</v>
      </c>
      <c r="B631" s="3" t="str">
        <f>"20028421E"</f>
        <v>20028421E</v>
      </c>
      <c r="C631" s="5" t="s">
        <v>649</v>
      </c>
      <c r="D631" s="4" t="s">
        <v>11</v>
      </c>
      <c r="E631" s="4" t="str">
        <f>"AXTP"</f>
        <v>AXTP</v>
      </c>
      <c r="F631" s="4" t="s">
        <v>615</v>
      </c>
      <c r="G631" s="4">
        <v>3</v>
      </c>
      <c r="H631" s="4">
        <v>6</v>
      </c>
      <c r="I631" s="4">
        <v>24</v>
      </c>
    </row>
    <row r="632" spans="1:9" ht="24" thickBot="1" x14ac:dyDescent="0.3">
      <c r="A632" s="3">
        <v>497</v>
      </c>
      <c r="B632" s="3" t="str">
        <f>"20168441I"</f>
        <v>20168441I</v>
      </c>
      <c r="C632" s="5" t="s">
        <v>650</v>
      </c>
      <c r="D632" s="4" t="s">
        <v>11</v>
      </c>
      <c r="E632" s="4" t="str">
        <f>"AXTP"</f>
        <v>AXTP</v>
      </c>
      <c r="F632" s="4" t="s">
        <v>615</v>
      </c>
      <c r="G632" s="4">
        <v>4</v>
      </c>
      <c r="H632" s="4">
        <v>1</v>
      </c>
      <c r="I632" s="4">
        <v>15</v>
      </c>
    </row>
    <row r="633" spans="1:9" ht="24" thickBot="1" x14ac:dyDescent="0.3">
      <c r="A633" s="3">
        <v>498</v>
      </c>
      <c r="B633" s="3" t="str">
        <f>"19808442H"</f>
        <v>19808442H</v>
      </c>
      <c r="C633" s="5" t="s">
        <v>651</v>
      </c>
      <c r="D633" s="4" t="s">
        <v>11</v>
      </c>
      <c r="E633" s="4" t="str">
        <f>"PRTC"</f>
        <v>PRTC</v>
      </c>
      <c r="F633" s="4" t="s">
        <v>615</v>
      </c>
      <c r="G633" s="4">
        <v>30</v>
      </c>
      <c r="H633" s="4">
        <v>0</v>
      </c>
      <c r="I633" s="4">
        <v>5</v>
      </c>
    </row>
    <row r="634" spans="1:9" ht="24" thickBot="1" x14ac:dyDescent="0.3">
      <c r="A634" s="3">
        <v>506</v>
      </c>
      <c r="B634" s="3" t="str">
        <f>"19898442B"</f>
        <v>19898442B</v>
      </c>
      <c r="C634" s="5" t="s">
        <v>652</v>
      </c>
      <c r="D634" s="4" t="s">
        <v>11</v>
      </c>
      <c r="E634" s="4" t="str">
        <f>"PRTC"</f>
        <v>PRTC</v>
      </c>
      <c r="F634" s="4" t="s">
        <v>615</v>
      </c>
      <c r="G634" s="4">
        <v>7</v>
      </c>
      <c r="H634" s="4">
        <v>3</v>
      </c>
      <c r="I634" s="4">
        <v>11</v>
      </c>
    </row>
    <row r="635" spans="1:9" ht="24" thickBot="1" x14ac:dyDescent="0.3">
      <c r="A635" s="3">
        <v>525</v>
      </c>
      <c r="B635" s="3" t="str">
        <f>"19818443G"</f>
        <v>19818443G</v>
      </c>
      <c r="C635" s="5" t="s">
        <v>653</v>
      </c>
      <c r="D635" s="4" t="s">
        <v>11</v>
      </c>
      <c r="E635" s="4" t="str">
        <f>"ASTC"</f>
        <v>ASTC</v>
      </c>
      <c r="F635" s="4" t="s">
        <v>615</v>
      </c>
      <c r="G635" s="4">
        <v>13</v>
      </c>
      <c r="H635" s="4">
        <v>2</v>
      </c>
      <c r="I635" s="4">
        <v>14</v>
      </c>
    </row>
    <row r="636" spans="1:9" ht="24" thickBot="1" x14ac:dyDescent="0.3">
      <c r="A636" s="3">
        <v>548</v>
      </c>
      <c r="B636" s="3" t="str">
        <f>"19898515J"</f>
        <v>19898515J</v>
      </c>
      <c r="C636" s="5" t="s">
        <v>654</v>
      </c>
      <c r="D636" s="4" t="s">
        <v>11</v>
      </c>
      <c r="E636" s="4" t="str">
        <f>"AXTC"</f>
        <v>AXTC</v>
      </c>
      <c r="F636" s="4" t="s">
        <v>615</v>
      </c>
      <c r="G636" s="4">
        <v>4</v>
      </c>
      <c r="H636" s="4">
        <v>6</v>
      </c>
      <c r="I636" s="4">
        <v>0</v>
      </c>
    </row>
    <row r="637" spans="1:9" ht="24" thickBot="1" x14ac:dyDescent="0.3">
      <c r="A637" s="3">
        <v>553</v>
      </c>
      <c r="B637" s="3" t="str">
        <f>"19958512A"</f>
        <v>19958512A</v>
      </c>
      <c r="C637" s="5" t="s">
        <v>655</v>
      </c>
      <c r="D637" s="4" t="s">
        <v>11</v>
      </c>
      <c r="E637" s="4" t="str">
        <f>"PRTC"</f>
        <v>PRTC</v>
      </c>
      <c r="F637" s="4" t="s">
        <v>615</v>
      </c>
      <c r="G637" s="4">
        <v>14</v>
      </c>
      <c r="H637" s="4">
        <v>1</v>
      </c>
      <c r="I637" s="4">
        <v>0</v>
      </c>
    </row>
    <row r="638" spans="1:9" ht="24" thickBot="1" x14ac:dyDescent="0.3">
      <c r="A638" s="3">
        <v>558</v>
      </c>
      <c r="B638" s="3" t="str">
        <f>"20128501K"</f>
        <v>20128501K</v>
      </c>
      <c r="C638" s="5" t="s">
        <v>656</v>
      </c>
      <c r="D638" s="4" t="s">
        <v>11</v>
      </c>
      <c r="E638" s="4" t="str">
        <f>"AXTP"</f>
        <v>AXTP</v>
      </c>
      <c r="F638" s="4" t="s">
        <v>615</v>
      </c>
      <c r="G638" s="4">
        <v>3</v>
      </c>
      <c r="H638" s="4">
        <v>6</v>
      </c>
      <c r="I638" s="4">
        <v>24</v>
      </c>
    </row>
    <row r="639" spans="1:9" ht="24" thickBot="1" x14ac:dyDescent="0.3">
      <c r="A639" s="3">
        <v>564</v>
      </c>
      <c r="B639" s="3" t="str">
        <f>"19888510E"</f>
        <v>19888510E</v>
      </c>
      <c r="C639" s="5" t="s">
        <v>657</v>
      </c>
      <c r="D639" s="4" t="s">
        <v>11</v>
      </c>
      <c r="E639" s="4" t="str">
        <f>"ASTP"</f>
        <v>ASTP</v>
      </c>
      <c r="F639" s="4" t="s">
        <v>615</v>
      </c>
      <c r="G639" s="4">
        <v>7</v>
      </c>
      <c r="H639" s="4">
        <v>5</v>
      </c>
      <c r="I639" s="4">
        <v>7</v>
      </c>
    </row>
    <row r="640" spans="1:9" ht="24" thickBot="1" x14ac:dyDescent="0.3">
      <c r="A640" s="3">
        <v>571</v>
      </c>
      <c r="B640" s="3" t="str">
        <f>"19958503B"</f>
        <v>19958503B</v>
      </c>
      <c r="C640" s="5" t="s">
        <v>658</v>
      </c>
      <c r="D640" s="4" t="s">
        <v>11</v>
      </c>
      <c r="E640" s="4" t="str">
        <f>"AXTP"</f>
        <v>AXTP</v>
      </c>
      <c r="F640" s="4" t="s">
        <v>615</v>
      </c>
      <c r="G640" s="4">
        <v>4</v>
      </c>
      <c r="H640" s="4">
        <v>6</v>
      </c>
      <c r="I640" s="4">
        <v>0</v>
      </c>
    </row>
    <row r="641" spans="1:9" ht="24" thickBot="1" x14ac:dyDescent="0.3">
      <c r="A641" s="3">
        <v>572</v>
      </c>
      <c r="B641" s="3" t="str">
        <f>"19898516F"</f>
        <v>19898516F</v>
      </c>
      <c r="C641" s="5" t="s">
        <v>659</v>
      </c>
      <c r="D641" s="4" t="s">
        <v>11</v>
      </c>
      <c r="E641" s="4" t="str">
        <f>"AXTC"</f>
        <v>AXTC</v>
      </c>
      <c r="F641" s="4" t="s">
        <v>615</v>
      </c>
      <c r="G641" s="4">
        <v>4</v>
      </c>
      <c r="H641" s="4">
        <v>6</v>
      </c>
      <c r="I641" s="4">
        <v>0</v>
      </c>
    </row>
    <row r="642" spans="1:9" ht="24" thickBot="1" x14ac:dyDescent="0.3">
      <c r="A642" s="3">
        <v>578</v>
      </c>
      <c r="B642" s="3" t="str">
        <f>"19918504H"</f>
        <v>19918504H</v>
      </c>
      <c r="C642" s="5" t="s">
        <v>660</v>
      </c>
      <c r="D642" s="4" t="s">
        <v>11</v>
      </c>
      <c r="E642" s="4" t="str">
        <f>"ASTC"</f>
        <v>ASTC</v>
      </c>
      <c r="F642" s="4" t="s">
        <v>615</v>
      </c>
      <c r="G642" s="4">
        <v>23</v>
      </c>
      <c r="H642" s="4">
        <v>8</v>
      </c>
      <c r="I642" s="4">
        <v>17</v>
      </c>
    </row>
    <row r="643" spans="1:9" ht="24" thickBot="1" x14ac:dyDescent="0.3">
      <c r="A643" s="3">
        <v>584</v>
      </c>
      <c r="B643" s="3" t="str">
        <f>"19958502F"</f>
        <v>19958502F</v>
      </c>
      <c r="C643" s="5" t="s">
        <v>661</v>
      </c>
      <c r="D643" s="4" t="s">
        <v>11</v>
      </c>
      <c r="E643" s="4" t="str">
        <f>"ASTC"</f>
        <v>ASTC</v>
      </c>
      <c r="F643" s="4" t="s">
        <v>615</v>
      </c>
      <c r="G643" s="4">
        <v>23</v>
      </c>
      <c r="H643" s="4">
        <v>7</v>
      </c>
      <c r="I643" s="4">
        <v>17</v>
      </c>
    </row>
    <row r="644" spans="1:9" ht="24" thickBot="1" x14ac:dyDescent="0.3">
      <c r="A644" s="3">
        <v>586</v>
      </c>
      <c r="B644" s="3" t="str">
        <f>"19798502C"</f>
        <v>19798502C</v>
      </c>
      <c r="C644" s="5" t="s">
        <v>662</v>
      </c>
      <c r="D644" s="4" t="s">
        <v>11</v>
      </c>
      <c r="E644" s="4" t="str">
        <f>"ASTC"</f>
        <v>ASTC</v>
      </c>
      <c r="F644" s="4" t="s">
        <v>615</v>
      </c>
      <c r="G644" s="4">
        <v>33</v>
      </c>
      <c r="H644" s="4">
        <v>6</v>
      </c>
      <c r="I644" s="4">
        <v>15</v>
      </c>
    </row>
    <row r="645" spans="1:9" ht="24" thickBot="1" x14ac:dyDescent="0.3">
      <c r="A645" s="3">
        <v>604</v>
      </c>
      <c r="B645" s="3" t="str">
        <f>"19718513C"</f>
        <v>19718513C</v>
      </c>
      <c r="C645" s="5" t="s">
        <v>663</v>
      </c>
      <c r="D645" s="4" t="s">
        <v>11</v>
      </c>
      <c r="E645" s="4" t="str">
        <f>"PRTC"</f>
        <v>PRTC</v>
      </c>
      <c r="F645" s="4" t="s">
        <v>615</v>
      </c>
      <c r="G645" s="4">
        <v>30</v>
      </c>
      <c r="H645" s="4">
        <v>0</v>
      </c>
      <c r="I645" s="4">
        <v>5</v>
      </c>
    </row>
    <row r="646" spans="1:9" ht="24" thickBot="1" x14ac:dyDescent="0.3">
      <c r="A646" s="3">
        <v>608</v>
      </c>
      <c r="B646" s="3" t="str">
        <f>"19958510I"</f>
        <v>19958510I</v>
      </c>
      <c r="C646" s="5" t="s">
        <v>664</v>
      </c>
      <c r="D646" s="4" t="s">
        <v>11</v>
      </c>
      <c r="E646" s="4" t="str">
        <f>"AXTC"</f>
        <v>AXTC</v>
      </c>
      <c r="F646" s="4" t="s">
        <v>615</v>
      </c>
      <c r="G646" s="4">
        <v>4</v>
      </c>
      <c r="H646" s="4">
        <v>6</v>
      </c>
      <c r="I646" s="4">
        <v>0</v>
      </c>
    </row>
    <row r="647" spans="1:9" ht="24" thickBot="1" x14ac:dyDescent="0.3">
      <c r="A647" s="3">
        <v>678</v>
      </c>
      <c r="B647" s="3" t="str">
        <f>"20208552K"</f>
        <v>20208552K</v>
      </c>
      <c r="C647" s="5" t="s">
        <v>665</v>
      </c>
      <c r="D647" s="4" t="s">
        <v>11</v>
      </c>
      <c r="E647" s="4" t="str">
        <f>"AXTP"</f>
        <v>AXTP</v>
      </c>
      <c r="F647" s="4" t="s">
        <v>615</v>
      </c>
      <c r="G647" s="4">
        <v>4</v>
      </c>
      <c r="H647" s="4">
        <v>6</v>
      </c>
      <c r="I647" s="4">
        <v>0</v>
      </c>
    </row>
    <row r="648" spans="1:9" ht="24" thickBot="1" x14ac:dyDescent="0.3">
      <c r="A648" s="3">
        <v>710</v>
      </c>
      <c r="B648" s="3" t="str">
        <f>"19898580F"</f>
        <v>19898580F</v>
      </c>
      <c r="C648" s="5" t="s">
        <v>666</v>
      </c>
      <c r="D648" s="4" t="s">
        <v>11</v>
      </c>
      <c r="E648" s="4" t="str">
        <f>"ASTC"</f>
        <v>ASTC</v>
      </c>
      <c r="F648" s="4" t="s">
        <v>615</v>
      </c>
      <c r="G648" s="4">
        <v>23</v>
      </c>
      <c r="H648" s="4">
        <v>8</v>
      </c>
      <c r="I648" s="4">
        <v>17</v>
      </c>
    </row>
    <row r="649" spans="1:9" ht="24" thickBot="1" x14ac:dyDescent="0.3">
      <c r="A649" s="3">
        <v>727</v>
      </c>
      <c r="B649" s="3" t="str">
        <f>"20108602F"</f>
        <v>20108602F</v>
      </c>
      <c r="C649" s="5" t="s">
        <v>667</v>
      </c>
      <c r="D649" s="4" t="s">
        <v>11</v>
      </c>
      <c r="E649" s="4" t="str">
        <f>"AXTC"</f>
        <v>AXTC</v>
      </c>
      <c r="F649" s="4" t="s">
        <v>615</v>
      </c>
      <c r="G649" s="4">
        <v>4</v>
      </c>
      <c r="H649" s="4">
        <v>6</v>
      </c>
      <c r="I649" s="4">
        <v>0</v>
      </c>
    </row>
    <row r="650" spans="1:9" ht="24" thickBot="1" x14ac:dyDescent="0.3">
      <c r="A650" s="3">
        <v>741</v>
      </c>
      <c r="B650" s="3" t="str">
        <f>"19868604D"</f>
        <v>19868604D</v>
      </c>
      <c r="C650" s="5" t="s">
        <v>668</v>
      </c>
      <c r="D650" s="4" t="s">
        <v>11</v>
      </c>
      <c r="E650" s="4" t="str">
        <f>"PRTC"</f>
        <v>PRTC</v>
      </c>
      <c r="F650" s="4" t="s">
        <v>615</v>
      </c>
      <c r="G650" s="4">
        <v>14</v>
      </c>
      <c r="H650" s="4">
        <v>1</v>
      </c>
      <c r="I650" s="4">
        <v>0</v>
      </c>
    </row>
    <row r="651" spans="1:9" ht="24" thickBot="1" x14ac:dyDescent="0.3">
      <c r="A651" s="3">
        <v>762</v>
      </c>
      <c r="B651" s="3" t="str">
        <f>"19858606D"</f>
        <v>19858606D</v>
      </c>
      <c r="C651" s="5" t="s">
        <v>669</v>
      </c>
      <c r="D651" s="4" t="s">
        <v>11</v>
      </c>
      <c r="E651" s="4" t="str">
        <f>"AXTC"</f>
        <v>AXTC</v>
      </c>
      <c r="F651" s="4" t="s">
        <v>615</v>
      </c>
      <c r="G651" s="4">
        <v>27</v>
      </c>
      <c r="H651" s="4">
        <v>3</v>
      </c>
      <c r="I651" s="4">
        <v>14</v>
      </c>
    </row>
    <row r="652" spans="1:9" ht="24" thickBot="1" x14ac:dyDescent="0.3">
      <c r="A652" s="3">
        <v>779</v>
      </c>
      <c r="B652" s="3" t="str">
        <f>"20208593I"</f>
        <v>20208593I</v>
      </c>
      <c r="C652" s="5" t="s">
        <v>670</v>
      </c>
      <c r="D652" s="4" t="s">
        <v>11</v>
      </c>
      <c r="E652" s="4" t="str">
        <f>"AXTC"</f>
        <v>AXTC</v>
      </c>
      <c r="F652" s="4" t="s">
        <v>615</v>
      </c>
      <c r="G652" s="4">
        <v>4</v>
      </c>
      <c r="H652" s="4">
        <v>6</v>
      </c>
      <c r="I652" s="4">
        <v>0</v>
      </c>
    </row>
    <row r="653" spans="1:9" ht="24" thickBot="1" x14ac:dyDescent="0.3">
      <c r="A653" s="3">
        <v>781</v>
      </c>
      <c r="B653" s="3" t="str">
        <f>"20178603A"</f>
        <v>20178603A</v>
      </c>
      <c r="C653" s="5" t="s">
        <v>671</v>
      </c>
      <c r="D653" s="4" t="s">
        <v>11</v>
      </c>
      <c r="E653" s="4" t="str">
        <f>"AXTP"</f>
        <v>AXTP</v>
      </c>
      <c r="F653" s="4" t="s">
        <v>615</v>
      </c>
      <c r="G653" s="4">
        <v>4</v>
      </c>
      <c r="H653" s="4">
        <v>6</v>
      </c>
      <c r="I653" s="4">
        <v>0</v>
      </c>
    </row>
    <row r="654" spans="1:9" ht="24" thickBot="1" x14ac:dyDescent="0.3">
      <c r="A654" s="3">
        <v>784</v>
      </c>
      <c r="B654" s="3" t="str">
        <f>"20028601C"</f>
        <v>20028601C</v>
      </c>
      <c r="C654" s="5" t="s">
        <v>672</v>
      </c>
      <c r="D654" s="4" t="s">
        <v>11</v>
      </c>
      <c r="E654" s="4" t="str">
        <f>"AXTC"</f>
        <v>AXTC</v>
      </c>
      <c r="F654" s="4" t="s">
        <v>615</v>
      </c>
      <c r="G654" s="4">
        <v>4</v>
      </c>
      <c r="H654" s="4">
        <v>6</v>
      </c>
      <c r="I654" s="4">
        <v>0</v>
      </c>
    </row>
    <row r="655" spans="1:9" ht="24" thickBot="1" x14ac:dyDescent="0.3">
      <c r="A655" s="3">
        <v>799</v>
      </c>
      <c r="B655" s="3" t="str">
        <f>"19888642I"</f>
        <v>19888642I</v>
      </c>
      <c r="C655" s="5" t="s">
        <v>673</v>
      </c>
      <c r="D655" s="4" t="s">
        <v>11</v>
      </c>
      <c r="E655" s="4" t="str">
        <f>"AXTP"</f>
        <v>AXTP</v>
      </c>
      <c r="F655" s="4" t="s">
        <v>615</v>
      </c>
      <c r="G655" s="4">
        <v>14</v>
      </c>
      <c r="H655" s="4">
        <v>1</v>
      </c>
      <c r="I655" s="4">
        <v>0</v>
      </c>
    </row>
    <row r="656" spans="1:9" ht="24" thickBot="1" x14ac:dyDescent="0.3">
      <c r="A656" s="3">
        <v>807</v>
      </c>
      <c r="B656" s="3" t="str">
        <f>"19988642K"</f>
        <v>19988642K</v>
      </c>
      <c r="C656" s="5" t="s">
        <v>674</v>
      </c>
      <c r="D656" s="4" t="s">
        <v>11</v>
      </c>
      <c r="E656" s="4" t="str">
        <f>"AXTP"</f>
        <v>AXTP</v>
      </c>
      <c r="F656" s="4" t="s">
        <v>615</v>
      </c>
      <c r="G656" s="4">
        <v>4</v>
      </c>
      <c r="H656" s="4">
        <v>6</v>
      </c>
      <c r="I656" s="4">
        <v>0</v>
      </c>
    </row>
    <row r="657" spans="1:9" ht="24" thickBot="1" x14ac:dyDescent="0.3">
      <c r="A657" s="3">
        <v>837</v>
      </c>
      <c r="B657" s="3" t="str">
        <f>"19948663K"</f>
        <v>19948663K</v>
      </c>
      <c r="C657" s="5" t="s">
        <v>675</v>
      </c>
      <c r="D657" s="4" t="s">
        <v>11</v>
      </c>
      <c r="E657" s="4" t="str">
        <f>"ASTC"</f>
        <v>ASTC</v>
      </c>
      <c r="F657" s="4" t="s">
        <v>615</v>
      </c>
      <c r="G657" s="4">
        <v>27</v>
      </c>
      <c r="H657" s="4">
        <v>3</v>
      </c>
      <c r="I657" s="4">
        <v>14</v>
      </c>
    </row>
    <row r="658" spans="1:9" ht="24" thickBot="1" x14ac:dyDescent="0.3">
      <c r="A658" s="3">
        <v>868</v>
      </c>
      <c r="B658" s="3" t="str">
        <f>"20228595G"</f>
        <v>20228595G</v>
      </c>
      <c r="C658" s="5" t="s">
        <v>676</v>
      </c>
      <c r="D658" s="4" t="s">
        <v>11</v>
      </c>
      <c r="E658" s="4" t="str">
        <f>"AXTP"</f>
        <v>AXTP</v>
      </c>
      <c r="F658" s="4" t="s">
        <v>615</v>
      </c>
      <c r="G658" s="4">
        <v>3</v>
      </c>
      <c r="H658" s="4">
        <v>6</v>
      </c>
      <c r="I658" s="4">
        <v>24</v>
      </c>
    </row>
    <row r="659" spans="1:9" ht="24" thickBot="1" x14ac:dyDescent="0.3">
      <c r="A659" s="3">
        <v>879</v>
      </c>
      <c r="B659" s="3" t="str">
        <f>"19808673J"</f>
        <v>19808673J</v>
      </c>
      <c r="C659" s="5" t="s">
        <v>677</v>
      </c>
      <c r="D659" s="4" t="s">
        <v>11</v>
      </c>
      <c r="E659" s="4" t="str">
        <f>"PRTC"</f>
        <v>PRTC</v>
      </c>
      <c r="F659" s="4" t="s">
        <v>615</v>
      </c>
      <c r="G659" s="4">
        <v>16</v>
      </c>
      <c r="H659" s="4">
        <v>6</v>
      </c>
      <c r="I659" s="4">
        <v>29</v>
      </c>
    </row>
    <row r="660" spans="1:9" ht="24" thickBot="1" x14ac:dyDescent="0.3">
      <c r="A660" s="3">
        <v>891</v>
      </c>
      <c r="B660" s="3" t="str">
        <f>"19938662H"</f>
        <v>19938662H</v>
      </c>
      <c r="C660" s="5" t="s">
        <v>678</v>
      </c>
      <c r="D660" s="4" t="s">
        <v>11</v>
      </c>
      <c r="E660" s="4" t="str">
        <f>"PRTC"</f>
        <v>PRTC</v>
      </c>
      <c r="F660" s="4" t="s">
        <v>615</v>
      </c>
      <c r="G660" s="4">
        <v>17</v>
      </c>
      <c r="H660" s="4">
        <v>1</v>
      </c>
      <c r="I660" s="4">
        <v>2</v>
      </c>
    </row>
    <row r="661" spans="1:9" ht="24" thickBot="1" x14ac:dyDescent="0.3">
      <c r="A661" s="3">
        <v>901</v>
      </c>
      <c r="B661" s="3" t="str">
        <f>"19888681D"</f>
        <v>19888681D</v>
      </c>
      <c r="C661" s="5" t="s">
        <v>679</v>
      </c>
      <c r="D661" s="4" t="s">
        <v>11</v>
      </c>
      <c r="E661" s="4" t="str">
        <f>"AXTC"</f>
        <v>AXTC</v>
      </c>
      <c r="F661" s="4" t="s">
        <v>615</v>
      </c>
      <c r="G661" s="4">
        <v>16</v>
      </c>
      <c r="H661" s="4">
        <v>6</v>
      </c>
      <c r="I661" s="4">
        <v>0</v>
      </c>
    </row>
    <row r="662" spans="1:9" ht="24" thickBot="1" x14ac:dyDescent="0.3">
      <c r="A662" s="3">
        <v>907</v>
      </c>
      <c r="B662" s="3" t="str">
        <f>"20208699A"</f>
        <v>20208699A</v>
      </c>
      <c r="C662" s="5" t="s">
        <v>680</v>
      </c>
      <c r="D662" s="4" t="s">
        <v>11</v>
      </c>
      <c r="E662" s="4" t="str">
        <f>"AXTC"</f>
        <v>AXTC</v>
      </c>
      <c r="F662" s="4" t="s">
        <v>615</v>
      </c>
      <c r="G662" s="4">
        <v>4</v>
      </c>
      <c r="H662" s="4">
        <v>6</v>
      </c>
      <c r="I662" s="4">
        <v>0</v>
      </c>
    </row>
    <row r="663" spans="1:9" ht="24" thickBot="1" x14ac:dyDescent="0.3">
      <c r="A663" s="3">
        <v>927</v>
      </c>
      <c r="B663" s="3" t="str">
        <f>"20178713A"</f>
        <v>20178713A</v>
      </c>
      <c r="C663" s="5" t="s">
        <v>681</v>
      </c>
      <c r="D663" s="4" t="s">
        <v>11</v>
      </c>
      <c r="E663" s="4" t="str">
        <f>"AXTP"</f>
        <v>AXTP</v>
      </c>
      <c r="F663" s="4" t="s">
        <v>615</v>
      </c>
      <c r="G663" s="4">
        <v>4</v>
      </c>
      <c r="H663" s="4">
        <v>6</v>
      </c>
      <c r="I663" s="4">
        <v>0</v>
      </c>
    </row>
    <row r="664" spans="1:9" ht="24" thickBot="1" x14ac:dyDescent="0.3">
      <c r="A664" s="3">
        <v>939</v>
      </c>
      <c r="B664" s="3" t="str">
        <f>"20088713B"</f>
        <v>20088713B</v>
      </c>
      <c r="C664" s="5" t="s">
        <v>682</v>
      </c>
      <c r="D664" s="4" t="s">
        <v>11</v>
      </c>
      <c r="E664" s="4" t="str">
        <f>"AXTC"</f>
        <v>AXTC</v>
      </c>
      <c r="F664" s="4" t="s">
        <v>615</v>
      </c>
      <c r="G664" s="4">
        <v>13</v>
      </c>
      <c r="H664" s="4">
        <v>7</v>
      </c>
      <c r="I664" s="4">
        <v>0</v>
      </c>
    </row>
    <row r="665" spans="1:9" ht="24" thickBot="1" x14ac:dyDescent="0.3">
      <c r="A665" s="3">
        <v>943</v>
      </c>
      <c r="B665" s="3" t="str">
        <f>"19828719E"</f>
        <v>19828719E</v>
      </c>
      <c r="C665" s="5" t="s">
        <v>683</v>
      </c>
      <c r="D665" s="4" t="s">
        <v>11</v>
      </c>
      <c r="E665" s="4" t="str">
        <f>"PRTC"</f>
        <v>PRTC</v>
      </c>
      <c r="F665" s="4" t="s">
        <v>615</v>
      </c>
      <c r="G665" s="4">
        <v>21</v>
      </c>
      <c r="H665" s="4">
        <v>11</v>
      </c>
      <c r="I665" s="4">
        <v>17</v>
      </c>
    </row>
    <row r="666" spans="1:9" ht="24" thickBot="1" x14ac:dyDescent="0.3">
      <c r="A666" s="3">
        <v>952</v>
      </c>
      <c r="B666" s="3" t="str">
        <f>"20008713K"</f>
        <v>20008713K</v>
      </c>
      <c r="C666" s="5" t="s">
        <v>684</v>
      </c>
      <c r="D666" s="4" t="s">
        <v>11</v>
      </c>
      <c r="E666" s="4" t="str">
        <f>"AXTC"</f>
        <v>AXTC</v>
      </c>
      <c r="F666" s="4" t="s">
        <v>615</v>
      </c>
      <c r="G666" s="4">
        <v>16</v>
      </c>
      <c r="H666" s="4">
        <v>6</v>
      </c>
      <c r="I666" s="4">
        <v>0</v>
      </c>
    </row>
    <row r="667" spans="1:9" ht="24" thickBot="1" x14ac:dyDescent="0.3">
      <c r="A667" s="3">
        <v>962</v>
      </c>
      <c r="B667" s="3" t="str">
        <f>"19858714A"</f>
        <v>19858714A</v>
      </c>
      <c r="C667" s="5" t="s">
        <v>685</v>
      </c>
      <c r="D667" s="4" t="s">
        <v>11</v>
      </c>
      <c r="E667" s="4" t="str">
        <f>"PRTC"</f>
        <v>PRTC</v>
      </c>
      <c r="F667" s="4" t="s">
        <v>615</v>
      </c>
      <c r="G667" s="4">
        <v>30</v>
      </c>
      <c r="H667" s="4">
        <v>0</v>
      </c>
      <c r="I667" s="4">
        <v>5</v>
      </c>
    </row>
    <row r="668" spans="1:9" ht="24" thickBot="1" x14ac:dyDescent="0.3">
      <c r="A668" s="3">
        <v>975</v>
      </c>
      <c r="B668" s="3" t="str">
        <f>"19908723I"</f>
        <v>19908723I</v>
      </c>
      <c r="C668" s="5" t="s">
        <v>686</v>
      </c>
      <c r="D668" s="4" t="s">
        <v>11</v>
      </c>
      <c r="E668" s="4" t="str">
        <f>"ASTC"</f>
        <v>ASTC</v>
      </c>
      <c r="F668" s="4" t="s">
        <v>615</v>
      </c>
      <c r="G668" s="4">
        <v>23</v>
      </c>
      <c r="H668" s="4">
        <v>8</v>
      </c>
      <c r="I668" s="4">
        <v>17</v>
      </c>
    </row>
    <row r="669" spans="1:9" ht="24" thickBot="1" x14ac:dyDescent="0.3">
      <c r="A669" s="3">
        <v>1012</v>
      </c>
      <c r="B669" s="3" t="str">
        <f>"19908768B"</f>
        <v>19908768B</v>
      </c>
      <c r="C669" s="5" t="s">
        <v>687</v>
      </c>
      <c r="D669" s="4" t="s">
        <v>11</v>
      </c>
      <c r="E669" s="4" t="str">
        <f>"ASTC"</f>
        <v>ASTC</v>
      </c>
      <c r="F669" s="4" t="s">
        <v>615</v>
      </c>
      <c r="G669" s="4">
        <v>13</v>
      </c>
      <c r="H669" s="4">
        <v>2</v>
      </c>
      <c r="I669" s="4">
        <v>14</v>
      </c>
    </row>
    <row r="670" spans="1:9" ht="24" thickBot="1" x14ac:dyDescent="0.3">
      <c r="A670" s="3">
        <v>1029</v>
      </c>
      <c r="B670" s="3" t="str">
        <f>"20228721B"</f>
        <v>20228721B</v>
      </c>
      <c r="C670" s="5" t="s">
        <v>688</v>
      </c>
      <c r="D670" s="4" t="s">
        <v>11</v>
      </c>
      <c r="E670" s="4" t="str">
        <f>"AXTP"</f>
        <v>AXTP</v>
      </c>
      <c r="F670" s="4" t="s">
        <v>615</v>
      </c>
      <c r="G670" s="4">
        <v>3</v>
      </c>
      <c r="H670" s="4">
        <v>1</v>
      </c>
      <c r="I670" s="4">
        <v>24</v>
      </c>
    </row>
    <row r="671" spans="1:9" ht="24" thickBot="1" x14ac:dyDescent="0.3">
      <c r="A671" s="3">
        <v>1031</v>
      </c>
      <c r="B671" s="3" t="str">
        <f>"19668411H"</f>
        <v>19668411H</v>
      </c>
      <c r="C671" s="5" t="s">
        <v>689</v>
      </c>
      <c r="D671" s="4" t="s">
        <v>11</v>
      </c>
      <c r="E671" s="4" t="str">
        <f>"PRTC"</f>
        <v>PRTC</v>
      </c>
      <c r="F671" s="4" t="s">
        <v>615</v>
      </c>
      <c r="G671" s="4">
        <v>35</v>
      </c>
      <c r="H671" s="4">
        <v>11</v>
      </c>
      <c r="I671" s="4">
        <v>0</v>
      </c>
    </row>
    <row r="672" spans="1:9" ht="24" thickBot="1" x14ac:dyDescent="0.3">
      <c r="A672" s="3">
        <v>1037</v>
      </c>
      <c r="B672" s="3" t="str">
        <f>"19998821E"</f>
        <v>19998821E</v>
      </c>
      <c r="C672" s="5" t="s">
        <v>690</v>
      </c>
      <c r="D672" s="4" t="s">
        <v>11</v>
      </c>
      <c r="E672" s="4" t="str">
        <f>"AXTC"</f>
        <v>AXTC</v>
      </c>
      <c r="F672" s="4" t="s">
        <v>615</v>
      </c>
      <c r="G672" s="4">
        <v>16</v>
      </c>
      <c r="H672" s="4">
        <v>6</v>
      </c>
      <c r="I672" s="4">
        <v>0</v>
      </c>
    </row>
    <row r="673" spans="1:9" ht="24" thickBot="1" x14ac:dyDescent="0.3">
      <c r="A673" s="3">
        <v>1042</v>
      </c>
      <c r="B673" s="3" t="str">
        <f>"19898836K"</f>
        <v>19898836K</v>
      </c>
      <c r="C673" s="5" t="s">
        <v>691</v>
      </c>
      <c r="D673" s="4" t="s">
        <v>11</v>
      </c>
      <c r="E673" s="4" t="str">
        <f>"PRTC"</f>
        <v>PRTC</v>
      </c>
      <c r="F673" s="4" t="s">
        <v>615</v>
      </c>
      <c r="G673" s="4">
        <v>17</v>
      </c>
      <c r="H673" s="4">
        <v>1</v>
      </c>
      <c r="I673" s="4">
        <v>2</v>
      </c>
    </row>
    <row r="674" spans="1:9" ht="24" thickBot="1" x14ac:dyDescent="0.3">
      <c r="A674" s="3">
        <v>1061</v>
      </c>
      <c r="B674" s="3" t="str">
        <f>"20218754E"</f>
        <v>20218754E</v>
      </c>
      <c r="C674" s="5" t="s">
        <v>692</v>
      </c>
      <c r="D674" s="4" t="s">
        <v>11</v>
      </c>
      <c r="E674" s="4" t="str">
        <f>"AXTC"</f>
        <v>AXTC</v>
      </c>
      <c r="F674" s="4" t="s">
        <v>615</v>
      </c>
      <c r="G674" s="4">
        <v>4</v>
      </c>
      <c r="H674" s="4">
        <v>6</v>
      </c>
      <c r="I674" s="4">
        <v>0</v>
      </c>
    </row>
    <row r="675" spans="1:9" ht="24" thickBot="1" x14ac:dyDescent="0.3">
      <c r="A675" s="3">
        <v>1093</v>
      </c>
      <c r="B675" s="3" t="str">
        <f>"20218756H"</f>
        <v>20218756H</v>
      </c>
      <c r="C675" s="5" t="s">
        <v>693</v>
      </c>
      <c r="D675" s="4" t="s">
        <v>11</v>
      </c>
      <c r="E675" s="4" t="str">
        <f>"AXTC"</f>
        <v>AXTC</v>
      </c>
      <c r="F675" s="4" t="s">
        <v>615</v>
      </c>
      <c r="G675" s="4">
        <v>3</v>
      </c>
      <c r="H675" s="4">
        <v>6</v>
      </c>
      <c r="I675" s="4">
        <v>24</v>
      </c>
    </row>
    <row r="676" spans="1:9" ht="24" thickBot="1" x14ac:dyDescent="0.3">
      <c r="A676" s="3">
        <v>1105</v>
      </c>
      <c r="B676" s="3" t="str">
        <f>"19728922C"</f>
        <v>19728922C</v>
      </c>
      <c r="C676" s="5" t="s">
        <v>694</v>
      </c>
      <c r="D676" s="4" t="s">
        <v>11</v>
      </c>
      <c r="E676" s="4" t="str">
        <f>"PRTC"</f>
        <v>PRTC</v>
      </c>
      <c r="F676" s="4" t="s">
        <v>615</v>
      </c>
      <c r="G676" s="4">
        <v>34</v>
      </c>
      <c r="H676" s="4">
        <v>6</v>
      </c>
      <c r="I676" s="4">
        <v>0</v>
      </c>
    </row>
    <row r="677" spans="1:9" ht="24" thickBot="1" x14ac:dyDescent="0.3">
      <c r="A677" s="3">
        <v>1106</v>
      </c>
      <c r="B677" s="3" t="str">
        <f>"20148921E"</f>
        <v>20148921E</v>
      </c>
      <c r="C677" s="5" t="s">
        <v>695</v>
      </c>
      <c r="D677" s="4" t="s">
        <v>11</v>
      </c>
      <c r="E677" s="4" t="str">
        <f>"AXTP"</f>
        <v>AXTP</v>
      </c>
      <c r="F677" s="4" t="s">
        <v>615</v>
      </c>
      <c r="G677" s="4">
        <v>4</v>
      </c>
      <c r="H677" s="4">
        <v>6</v>
      </c>
      <c r="I677" s="4">
        <v>0</v>
      </c>
    </row>
    <row r="678" spans="1:9" ht="24" thickBot="1" x14ac:dyDescent="0.3">
      <c r="A678" s="3">
        <v>1113</v>
      </c>
      <c r="B678" s="3" t="str">
        <f>"20178961E"</f>
        <v>20178961E</v>
      </c>
      <c r="C678" s="5" t="s">
        <v>696</v>
      </c>
      <c r="D678" s="4" t="s">
        <v>11</v>
      </c>
      <c r="E678" s="4" t="str">
        <f>"AXTC"</f>
        <v>AXTC</v>
      </c>
      <c r="F678" s="4" t="s">
        <v>615</v>
      </c>
      <c r="G678" s="4">
        <v>4</v>
      </c>
      <c r="H678" s="4">
        <v>6</v>
      </c>
      <c r="I678" s="4">
        <v>0</v>
      </c>
    </row>
    <row r="679" spans="1:9" ht="15.75" thickBot="1" x14ac:dyDescent="0.3">
      <c r="A679" s="3">
        <v>2</v>
      </c>
      <c r="B679" s="3" t="str">
        <f>"19788004K"</f>
        <v>19788004K</v>
      </c>
      <c r="C679" s="5" t="s">
        <v>697</v>
      </c>
      <c r="D679" s="4" t="s">
        <v>11</v>
      </c>
      <c r="E679" s="4" t="str">
        <f>"PRTC"</f>
        <v>PRTC</v>
      </c>
      <c r="F679" s="4" t="s">
        <v>698</v>
      </c>
      <c r="G679" s="4">
        <v>14</v>
      </c>
      <c r="H679" s="4">
        <v>1</v>
      </c>
      <c r="I679" s="4">
        <v>0</v>
      </c>
    </row>
    <row r="680" spans="1:9" ht="15.75" thickBot="1" x14ac:dyDescent="0.3">
      <c r="A680" s="3">
        <v>3</v>
      </c>
      <c r="B680" s="3" t="str">
        <f>"19978002I"</f>
        <v>19978002I</v>
      </c>
      <c r="C680" s="5" t="s">
        <v>699</v>
      </c>
      <c r="D680" s="4" t="s">
        <v>11</v>
      </c>
      <c r="E680" s="4" t="str">
        <f>"PRTC"</f>
        <v>PRTC</v>
      </c>
      <c r="F680" s="4" t="s">
        <v>698</v>
      </c>
      <c r="G680" s="4">
        <v>13</v>
      </c>
      <c r="H680" s="4">
        <v>10</v>
      </c>
      <c r="I680" s="4">
        <v>2</v>
      </c>
    </row>
    <row r="681" spans="1:9" ht="15.75" thickBot="1" x14ac:dyDescent="0.3">
      <c r="A681" s="3">
        <v>13</v>
      </c>
      <c r="B681" s="3" t="str">
        <f>"19768007D"</f>
        <v>19768007D</v>
      </c>
      <c r="C681" s="5" t="s">
        <v>700</v>
      </c>
      <c r="D681" s="4" t="s">
        <v>11</v>
      </c>
      <c r="E681" s="4" t="str">
        <f>"PRTC"</f>
        <v>PRTC</v>
      </c>
      <c r="F681" s="4" t="s">
        <v>698</v>
      </c>
      <c r="G681" s="4">
        <v>27</v>
      </c>
      <c r="H681" s="4">
        <v>6</v>
      </c>
      <c r="I681" s="4">
        <v>29</v>
      </c>
    </row>
    <row r="682" spans="1:9" ht="15.75" thickBot="1" x14ac:dyDescent="0.3">
      <c r="A682" s="3">
        <v>16</v>
      </c>
      <c r="B682" s="3" t="str">
        <f>"19888013A"</f>
        <v>19888013A</v>
      </c>
      <c r="C682" s="5" t="s">
        <v>701</v>
      </c>
      <c r="D682" s="4" t="s">
        <v>11</v>
      </c>
      <c r="E682" s="4" t="str">
        <f>"ASTP"</f>
        <v>ASTP</v>
      </c>
      <c r="F682" s="4" t="s">
        <v>698</v>
      </c>
      <c r="G682" s="4">
        <v>25</v>
      </c>
      <c r="H682" s="4">
        <v>11</v>
      </c>
      <c r="I682" s="4">
        <v>11</v>
      </c>
    </row>
    <row r="683" spans="1:9" ht="15.75" thickBot="1" x14ac:dyDescent="0.3">
      <c r="A683" s="3">
        <v>33</v>
      </c>
      <c r="B683" s="3" t="str">
        <f>"19838006A"</f>
        <v>19838006A</v>
      </c>
      <c r="C683" s="5" t="s">
        <v>702</v>
      </c>
      <c r="D683" s="4" t="s">
        <v>11</v>
      </c>
      <c r="E683" s="4" t="str">
        <f>"PRTC"</f>
        <v>PRTC</v>
      </c>
      <c r="F683" s="4" t="s">
        <v>698</v>
      </c>
      <c r="G683" s="4">
        <v>24</v>
      </c>
      <c r="H683" s="4">
        <v>9</v>
      </c>
      <c r="I683" s="4">
        <v>24</v>
      </c>
    </row>
    <row r="684" spans="1:9" ht="15.75" thickBot="1" x14ac:dyDescent="0.3">
      <c r="A684" s="3">
        <v>39</v>
      </c>
      <c r="B684" s="3" t="str">
        <f>"19998002D"</f>
        <v>19998002D</v>
      </c>
      <c r="C684" s="5" t="s">
        <v>703</v>
      </c>
      <c r="D684" s="4" t="s">
        <v>11</v>
      </c>
      <c r="E684" s="4" t="str">
        <f>"ASTP"</f>
        <v>ASTP</v>
      </c>
      <c r="F684" s="4" t="s">
        <v>698</v>
      </c>
      <c r="G684" s="4">
        <v>6</v>
      </c>
      <c r="H684" s="4">
        <v>4</v>
      </c>
      <c r="I684" s="4">
        <v>12</v>
      </c>
    </row>
    <row r="685" spans="1:9" ht="15.75" thickBot="1" x14ac:dyDescent="0.3">
      <c r="A685" s="3">
        <v>49</v>
      </c>
      <c r="B685" s="3" t="str">
        <f>"19858009F"</f>
        <v>19858009F</v>
      </c>
      <c r="C685" s="5" t="s">
        <v>704</v>
      </c>
      <c r="D685" s="4" t="s">
        <v>11</v>
      </c>
      <c r="E685" s="4" t="str">
        <f>"ASTC"</f>
        <v>ASTC</v>
      </c>
      <c r="F685" s="4" t="s">
        <v>698</v>
      </c>
      <c r="G685" s="4">
        <v>23</v>
      </c>
      <c r="H685" s="4">
        <v>7</v>
      </c>
      <c r="I685" s="4">
        <v>17</v>
      </c>
    </row>
    <row r="686" spans="1:9" ht="15.75" thickBot="1" x14ac:dyDescent="0.3">
      <c r="A686" s="3">
        <v>65</v>
      </c>
      <c r="B686" s="3" t="str">
        <f>"19808003D"</f>
        <v>19808003D</v>
      </c>
      <c r="C686" s="5" t="s">
        <v>705</v>
      </c>
      <c r="D686" s="4" t="s">
        <v>11</v>
      </c>
      <c r="E686" s="4" t="str">
        <f>"PRTC"</f>
        <v>PRTC</v>
      </c>
      <c r="F686" s="4" t="s">
        <v>698</v>
      </c>
      <c r="G686" s="4">
        <v>28</v>
      </c>
      <c r="H686" s="4">
        <v>9</v>
      </c>
      <c r="I686" s="4">
        <v>28</v>
      </c>
    </row>
    <row r="687" spans="1:9" ht="15.75" thickBot="1" x14ac:dyDescent="0.3">
      <c r="A687" s="3">
        <v>68</v>
      </c>
      <c r="B687" s="3" t="str">
        <f>"19978003E"</f>
        <v>19978003E</v>
      </c>
      <c r="C687" s="5" t="s">
        <v>706</v>
      </c>
      <c r="D687" s="4" t="s">
        <v>11</v>
      </c>
      <c r="E687" s="4" t="str">
        <f>"AXTC"</f>
        <v>AXTC</v>
      </c>
      <c r="F687" s="4" t="s">
        <v>698</v>
      </c>
      <c r="G687" s="4">
        <v>23</v>
      </c>
      <c r="H687" s="4">
        <v>7</v>
      </c>
      <c r="I687" s="4">
        <v>4</v>
      </c>
    </row>
    <row r="688" spans="1:9" ht="15.75" thickBot="1" x14ac:dyDescent="0.3">
      <c r="A688" s="3">
        <v>74</v>
      </c>
      <c r="B688" s="3" t="str">
        <f>"19988005K"</f>
        <v>19988005K</v>
      </c>
      <c r="C688" s="5" t="s">
        <v>707</v>
      </c>
      <c r="D688" s="4" t="s">
        <v>11</v>
      </c>
      <c r="E688" s="4" t="str">
        <f>"AXTP"</f>
        <v>AXTP</v>
      </c>
      <c r="F688" s="4" t="s">
        <v>698</v>
      </c>
      <c r="G688" s="4">
        <v>3</v>
      </c>
      <c r="H688" s="4">
        <v>6</v>
      </c>
      <c r="I688" s="4">
        <v>24</v>
      </c>
    </row>
    <row r="689" spans="1:9" ht="15.75" thickBot="1" x14ac:dyDescent="0.3">
      <c r="A689" s="3">
        <v>79</v>
      </c>
      <c r="B689" s="3" t="str">
        <f>"20208001D"</f>
        <v>20208001D</v>
      </c>
      <c r="C689" s="5" t="s">
        <v>708</v>
      </c>
      <c r="D689" s="4" t="s">
        <v>324</v>
      </c>
      <c r="E689" s="4" t="str">
        <f>"AXTP"</f>
        <v>AXTP</v>
      </c>
      <c r="F689" s="4" t="s">
        <v>698</v>
      </c>
      <c r="G689" s="4">
        <v>4</v>
      </c>
      <c r="H689" s="4">
        <v>1</v>
      </c>
      <c r="I689" s="4">
        <v>16</v>
      </c>
    </row>
    <row r="690" spans="1:9" ht="15.75" thickBot="1" x14ac:dyDescent="0.3">
      <c r="A690" s="3">
        <v>83</v>
      </c>
      <c r="B690" s="3" t="str">
        <f>"19858067F"</f>
        <v>19858067F</v>
      </c>
      <c r="C690" s="5" t="s">
        <v>709</v>
      </c>
      <c r="D690" s="4" t="s">
        <v>11</v>
      </c>
      <c r="E690" s="4" t="str">
        <f>"ASTC"</f>
        <v>ASTC</v>
      </c>
      <c r="F690" s="4" t="s">
        <v>698</v>
      </c>
      <c r="G690" s="4">
        <v>28</v>
      </c>
      <c r="H690" s="4">
        <v>9</v>
      </c>
      <c r="I690" s="4">
        <v>28</v>
      </c>
    </row>
    <row r="691" spans="1:9" ht="15.75" thickBot="1" x14ac:dyDescent="0.3">
      <c r="A691" s="3">
        <v>99</v>
      </c>
      <c r="B691" s="3" t="str">
        <f>"19878067A"</f>
        <v>19878067A</v>
      </c>
      <c r="C691" s="5" t="s">
        <v>710</v>
      </c>
      <c r="D691" s="4" t="s">
        <v>11</v>
      </c>
      <c r="E691" s="4" t="str">
        <f>"PRTC"</f>
        <v>PRTC</v>
      </c>
      <c r="F691" s="4" t="s">
        <v>698</v>
      </c>
      <c r="G691" s="4">
        <v>23</v>
      </c>
      <c r="H691" s="4">
        <v>7</v>
      </c>
      <c r="I691" s="4">
        <v>17</v>
      </c>
    </row>
    <row r="692" spans="1:9" ht="15.75" thickBot="1" x14ac:dyDescent="0.3">
      <c r="A692" s="3">
        <v>100</v>
      </c>
      <c r="B692" s="3" t="str">
        <f>"20208064F"</f>
        <v>20208064F</v>
      </c>
      <c r="C692" s="5" t="s">
        <v>711</v>
      </c>
      <c r="D692" s="4" t="s">
        <v>11</v>
      </c>
      <c r="E692" s="4" t="str">
        <f>"AXTC"</f>
        <v>AXTC</v>
      </c>
      <c r="F692" s="4" t="s">
        <v>698</v>
      </c>
      <c r="G692" s="4">
        <v>4</v>
      </c>
      <c r="H692" s="4">
        <v>6</v>
      </c>
      <c r="I692" s="4">
        <v>0</v>
      </c>
    </row>
    <row r="693" spans="1:9" ht="15.75" thickBot="1" x14ac:dyDescent="0.3">
      <c r="A693" s="3">
        <v>104</v>
      </c>
      <c r="B693" s="3" t="str">
        <f>"19778064K"</f>
        <v>19778064K</v>
      </c>
      <c r="C693" s="5" t="s">
        <v>712</v>
      </c>
      <c r="D693" s="4" t="s">
        <v>11</v>
      </c>
      <c r="E693" s="4" t="str">
        <f>"ASTC"</f>
        <v>ASTC</v>
      </c>
      <c r="F693" s="4" t="s">
        <v>698</v>
      </c>
      <c r="G693" s="4">
        <v>37</v>
      </c>
      <c r="H693" s="4">
        <v>1</v>
      </c>
      <c r="I693" s="4">
        <v>0</v>
      </c>
    </row>
    <row r="694" spans="1:9" ht="15.75" thickBot="1" x14ac:dyDescent="0.3">
      <c r="A694" s="3">
        <v>124</v>
      </c>
      <c r="B694" s="3" t="str">
        <f>"20198063B"</f>
        <v>20198063B</v>
      </c>
      <c r="C694" s="5" t="s">
        <v>713</v>
      </c>
      <c r="D694" s="4" t="s">
        <v>11</v>
      </c>
      <c r="E694" s="4" t="str">
        <f>"AXTC"</f>
        <v>AXTC</v>
      </c>
      <c r="F694" s="4" t="s">
        <v>698</v>
      </c>
      <c r="G694" s="4">
        <v>4</v>
      </c>
      <c r="H694" s="4">
        <v>6</v>
      </c>
      <c r="I694" s="4">
        <v>0</v>
      </c>
    </row>
    <row r="695" spans="1:9" ht="15.75" thickBot="1" x14ac:dyDescent="0.3">
      <c r="A695" s="3">
        <v>152</v>
      </c>
      <c r="B695" s="3" t="str">
        <f>"20128114G"</f>
        <v>20128114G</v>
      </c>
      <c r="C695" s="5" t="s">
        <v>714</v>
      </c>
      <c r="D695" s="4" t="s">
        <v>11</v>
      </c>
      <c r="E695" s="4" t="str">
        <f>"AXTC"</f>
        <v>AXTC</v>
      </c>
      <c r="F695" s="4" t="s">
        <v>698</v>
      </c>
      <c r="G695" s="4">
        <v>4</v>
      </c>
      <c r="H695" s="4">
        <v>6</v>
      </c>
      <c r="I695" s="4">
        <v>0</v>
      </c>
    </row>
    <row r="696" spans="1:9" ht="15.75" thickBot="1" x14ac:dyDescent="0.3">
      <c r="A696" s="3">
        <v>182</v>
      </c>
      <c r="B696" s="3" t="str">
        <f>"19978128B"</f>
        <v>19978128B</v>
      </c>
      <c r="C696" s="5" t="s">
        <v>715</v>
      </c>
      <c r="D696" s="4" t="s">
        <v>11</v>
      </c>
      <c r="E696" s="4" t="str">
        <f>"ASTC"</f>
        <v>ASTC</v>
      </c>
      <c r="F696" s="4" t="s">
        <v>698</v>
      </c>
      <c r="G696" s="4">
        <v>23</v>
      </c>
      <c r="H696" s="4">
        <v>3</v>
      </c>
      <c r="I696" s="4">
        <v>17</v>
      </c>
    </row>
    <row r="697" spans="1:9" ht="15.75" thickBot="1" x14ac:dyDescent="0.3">
      <c r="A697" s="3">
        <v>185</v>
      </c>
      <c r="B697" s="3" t="str">
        <f>"19798123B"</f>
        <v>19798123B</v>
      </c>
      <c r="C697" s="5" t="s">
        <v>716</v>
      </c>
      <c r="D697" s="4" t="s">
        <v>717</v>
      </c>
      <c r="E697" s="4" t="str">
        <f>"ASTP"</f>
        <v>ASTP</v>
      </c>
      <c r="F697" s="4" t="s">
        <v>698</v>
      </c>
      <c r="G697" s="4">
        <v>29</v>
      </c>
      <c r="H697" s="4">
        <v>3</v>
      </c>
      <c r="I697" s="4">
        <v>0</v>
      </c>
    </row>
    <row r="698" spans="1:9" ht="15.75" thickBot="1" x14ac:dyDescent="0.3">
      <c r="A698" s="3">
        <v>197</v>
      </c>
      <c r="B698" s="3" t="str">
        <f>"19938136D"</f>
        <v>19938136D</v>
      </c>
      <c r="C698" s="5" t="s">
        <v>718</v>
      </c>
      <c r="D698" s="4" t="s">
        <v>11</v>
      </c>
      <c r="E698" s="4" t="str">
        <f>"AXTC"</f>
        <v>AXTC</v>
      </c>
      <c r="F698" s="4" t="s">
        <v>698</v>
      </c>
      <c r="G698" s="4">
        <v>23</v>
      </c>
      <c r="H698" s="4">
        <v>4</v>
      </c>
      <c r="I698" s="4">
        <v>18</v>
      </c>
    </row>
    <row r="699" spans="1:9" ht="15.75" thickBot="1" x14ac:dyDescent="0.3">
      <c r="A699" s="3">
        <v>221</v>
      </c>
      <c r="B699" s="3" t="str">
        <f>"19868132E"</f>
        <v>19868132E</v>
      </c>
      <c r="C699" s="5" t="s">
        <v>719</v>
      </c>
      <c r="D699" s="4" t="s">
        <v>11</v>
      </c>
      <c r="E699" s="4" t="str">
        <f>"ASTC"</f>
        <v>ASTC</v>
      </c>
      <c r="F699" s="4" t="s">
        <v>698</v>
      </c>
      <c r="G699" s="4">
        <v>27</v>
      </c>
      <c r="H699" s="4">
        <v>6</v>
      </c>
      <c r="I699" s="4">
        <v>29</v>
      </c>
    </row>
    <row r="700" spans="1:9" ht="15.75" thickBot="1" x14ac:dyDescent="0.3">
      <c r="A700" s="3">
        <v>222</v>
      </c>
      <c r="B700" s="3" t="str">
        <f>"20138184H"</f>
        <v>20138184H</v>
      </c>
      <c r="C700" s="5" t="s">
        <v>720</v>
      </c>
      <c r="D700" s="4" t="s">
        <v>11</v>
      </c>
      <c r="E700" s="4" t="str">
        <f>"AXTC"</f>
        <v>AXTC</v>
      </c>
      <c r="F700" s="4" t="s">
        <v>698</v>
      </c>
      <c r="G700" s="4">
        <v>4</v>
      </c>
      <c r="H700" s="4">
        <v>6</v>
      </c>
      <c r="I700" s="4">
        <v>0</v>
      </c>
    </row>
    <row r="701" spans="1:9" ht="15.75" thickBot="1" x14ac:dyDescent="0.3">
      <c r="A701" s="3">
        <v>226</v>
      </c>
      <c r="B701" s="3" t="str">
        <f>"19798125E"</f>
        <v>19798125E</v>
      </c>
      <c r="C701" s="5" t="s">
        <v>721</v>
      </c>
      <c r="D701" s="4" t="s">
        <v>11</v>
      </c>
      <c r="E701" s="4" t="str">
        <f>"AXTC"</f>
        <v>AXTC</v>
      </c>
      <c r="F701" s="4" t="s">
        <v>698</v>
      </c>
      <c r="G701" s="4">
        <v>14</v>
      </c>
      <c r="H701" s="4">
        <v>6</v>
      </c>
      <c r="I701" s="4">
        <v>0</v>
      </c>
    </row>
    <row r="702" spans="1:9" ht="15.75" thickBot="1" x14ac:dyDescent="0.3">
      <c r="A702" s="3">
        <v>230</v>
      </c>
      <c r="B702" s="3" t="str">
        <f>"20198119H"</f>
        <v>20198119H</v>
      </c>
      <c r="C702" s="5" t="s">
        <v>722</v>
      </c>
      <c r="D702" s="4" t="s">
        <v>11</v>
      </c>
      <c r="E702" s="4" t="str">
        <f>"AXTC"</f>
        <v>AXTC</v>
      </c>
      <c r="F702" s="4" t="s">
        <v>698</v>
      </c>
      <c r="G702" s="4">
        <v>4</v>
      </c>
      <c r="H702" s="4">
        <v>6</v>
      </c>
      <c r="I702" s="4">
        <v>0</v>
      </c>
    </row>
    <row r="703" spans="1:9" ht="15.75" thickBot="1" x14ac:dyDescent="0.3">
      <c r="A703" s="3">
        <v>246</v>
      </c>
      <c r="B703" s="3" t="str">
        <f>"20148181A"</f>
        <v>20148181A</v>
      </c>
      <c r="C703" s="5" t="s">
        <v>723</v>
      </c>
      <c r="D703" s="4" t="s">
        <v>11</v>
      </c>
      <c r="E703" s="4" t="str">
        <f>"AXTP"</f>
        <v>AXTP</v>
      </c>
      <c r="F703" s="4" t="s">
        <v>698</v>
      </c>
      <c r="G703" s="4">
        <v>4</v>
      </c>
      <c r="H703" s="4">
        <v>6</v>
      </c>
      <c r="I703" s="4">
        <v>0</v>
      </c>
    </row>
    <row r="704" spans="1:9" ht="15.75" thickBot="1" x14ac:dyDescent="0.3">
      <c r="A704" s="3">
        <v>249</v>
      </c>
      <c r="B704" s="3" t="str">
        <f>"19998131I"</f>
        <v>19998131I</v>
      </c>
      <c r="C704" s="5" t="s">
        <v>724</v>
      </c>
      <c r="D704" s="4" t="s">
        <v>11</v>
      </c>
      <c r="E704" s="4" t="str">
        <f>"ASTP"</f>
        <v>ASTP</v>
      </c>
      <c r="F704" s="4" t="s">
        <v>698</v>
      </c>
      <c r="G704" s="4">
        <v>23</v>
      </c>
      <c r="H704" s="4">
        <v>7</v>
      </c>
      <c r="I704" s="4">
        <v>17</v>
      </c>
    </row>
    <row r="705" spans="1:9" ht="15.75" thickBot="1" x14ac:dyDescent="0.3">
      <c r="A705" s="3">
        <v>264</v>
      </c>
      <c r="B705" s="3" t="str">
        <f>"19778153C"</f>
        <v>19778153C</v>
      </c>
      <c r="C705" s="5" t="s">
        <v>725</v>
      </c>
      <c r="D705" s="4" t="s">
        <v>11</v>
      </c>
      <c r="E705" s="4" t="str">
        <f>"PRTC"</f>
        <v>PRTC</v>
      </c>
      <c r="F705" s="4" t="s">
        <v>698</v>
      </c>
      <c r="G705" s="4">
        <v>23</v>
      </c>
      <c r="H705" s="4">
        <v>7</v>
      </c>
      <c r="I705" s="4">
        <v>17</v>
      </c>
    </row>
    <row r="706" spans="1:9" ht="15.75" thickBot="1" x14ac:dyDescent="0.3">
      <c r="A706" s="3">
        <v>268</v>
      </c>
      <c r="B706" s="3" t="str">
        <f>"20208113G"</f>
        <v>20208113G</v>
      </c>
      <c r="C706" s="5" t="s">
        <v>726</v>
      </c>
      <c r="D706" s="4" t="s">
        <v>11</v>
      </c>
      <c r="E706" s="4" t="str">
        <f>"AXTP"</f>
        <v>AXTP</v>
      </c>
      <c r="F706" s="4" t="s">
        <v>698</v>
      </c>
      <c r="G706" s="4">
        <v>4</v>
      </c>
      <c r="H706" s="4">
        <v>6</v>
      </c>
      <c r="I706" s="4">
        <v>0</v>
      </c>
    </row>
    <row r="707" spans="1:9" ht="15.75" thickBot="1" x14ac:dyDescent="0.3">
      <c r="A707" s="3">
        <v>273</v>
      </c>
      <c r="B707" s="3" t="str">
        <f>"20008126H"</f>
        <v>20008126H</v>
      </c>
      <c r="C707" s="5" t="s">
        <v>727</v>
      </c>
      <c r="D707" s="4" t="s">
        <v>11</v>
      </c>
      <c r="E707" s="4" t="str">
        <f>"AXTC"</f>
        <v>AXTC</v>
      </c>
      <c r="F707" s="4" t="s">
        <v>698</v>
      </c>
      <c r="G707" s="4">
        <v>23</v>
      </c>
      <c r="H707" s="4">
        <v>7</v>
      </c>
      <c r="I707" s="4">
        <v>4</v>
      </c>
    </row>
    <row r="708" spans="1:9" ht="15.75" thickBot="1" x14ac:dyDescent="0.3">
      <c r="A708" s="3">
        <v>274</v>
      </c>
      <c r="B708" s="3" t="str">
        <f>"19978125C"</f>
        <v>19978125C</v>
      </c>
      <c r="C708" s="5" t="s">
        <v>728</v>
      </c>
      <c r="D708" s="4" t="s">
        <v>11</v>
      </c>
      <c r="E708" s="4" t="str">
        <f>"ASTC"</f>
        <v>ASTC</v>
      </c>
      <c r="F708" s="4" t="s">
        <v>698</v>
      </c>
      <c r="G708" s="4">
        <v>23</v>
      </c>
      <c r="H708" s="4">
        <v>7</v>
      </c>
      <c r="I708" s="4">
        <v>4</v>
      </c>
    </row>
    <row r="709" spans="1:9" ht="15.75" thickBot="1" x14ac:dyDescent="0.3">
      <c r="A709" s="3">
        <v>294</v>
      </c>
      <c r="B709" s="3" t="str">
        <f>"20088214F"</f>
        <v>20088214F</v>
      </c>
      <c r="C709" s="5" t="s">
        <v>729</v>
      </c>
      <c r="D709" s="4" t="s">
        <v>11</v>
      </c>
      <c r="E709" s="4" t="str">
        <f>"AXTC"</f>
        <v>AXTC</v>
      </c>
      <c r="F709" s="4" t="s">
        <v>698</v>
      </c>
      <c r="G709" s="4">
        <v>4</v>
      </c>
      <c r="H709" s="4">
        <v>6</v>
      </c>
      <c r="I709" s="4">
        <v>0</v>
      </c>
    </row>
    <row r="710" spans="1:9" ht="15.75" thickBot="1" x14ac:dyDescent="0.3">
      <c r="A710" s="3">
        <v>333</v>
      </c>
      <c r="B710" s="3" t="str">
        <f>"19898251B"</f>
        <v>19898251B</v>
      </c>
      <c r="C710" s="5" t="s">
        <v>730</v>
      </c>
      <c r="D710" s="4" t="s">
        <v>11</v>
      </c>
      <c r="E710" s="4" t="str">
        <f>"ASTC"</f>
        <v>ASTC</v>
      </c>
      <c r="F710" s="4" t="s">
        <v>698</v>
      </c>
      <c r="G710" s="4">
        <v>27</v>
      </c>
      <c r="H710" s="4">
        <v>3</v>
      </c>
      <c r="I710" s="4">
        <v>14</v>
      </c>
    </row>
    <row r="711" spans="1:9" ht="15.75" thickBot="1" x14ac:dyDescent="0.3">
      <c r="A711" s="3">
        <v>338</v>
      </c>
      <c r="B711" s="3" t="str">
        <f>"19798253C"</f>
        <v>19798253C</v>
      </c>
      <c r="C711" s="5" t="s">
        <v>731</v>
      </c>
      <c r="D711" s="4" t="s">
        <v>11</v>
      </c>
      <c r="E711" s="4" t="str">
        <f>"ASTC"</f>
        <v>ASTC</v>
      </c>
      <c r="F711" s="4" t="s">
        <v>698</v>
      </c>
      <c r="G711" s="4">
        <v>29</v>
      </c>
      <c r="H711" s="4">
        <v>8</v>
      </c>
      <c r="I711" s="4">
        <v>22</v>
      </c>
    </row>
    <row r="712" spans="1:9" ht="15.75" thickBot="1" x14ac:dyDescent="0.3">
      <c r="A712" s="3">
        <v>339</v>
      </c>
      <c r="B712" s="3" t="str">
        <f>"19728260K"</f>
        <v>19728260K</v>
      </c>
      <c r="C712" s="5" t="s">
        <v>732</v>
      </c>
      <c r="D712" s="4" t="s">
        <v>11</v>
      </c>
      <c r="E712" s="4" t="str">
        <f>"PRTC"</f>
        <v>PRTC</v>
      </c>
      <c r="F712" s="4" t="s">
        <v>698</v>
      </c>
      <c r="G712" s="4">
        <v>33</v>
      </c>
      <c r="H712" s="4">
        <v>10</v>
      </c>
      <c r="I712" s="4">
        <v>8</v>
      </c>
    </row>
    <row r="713" spans="1:9" ht="15.75" thickBot="1" x14ac:dyDescent="0.3">
      <c r="A713" s="3">
        <v>344</v>
      </c>
      <c r="B713" s="3" t="str">
        <f>"19988252H"</f>
        <v>19988252H</v>
      </c>
      <c r="C713" s="5" t="s">
        <v>733</v>
      </c>
      <c r="D713" s="4" t="s">
        <v>11</v>
      </c>
      <c r="E713" s="4" t="str">
        <f>"AXTC"</f>
        <v>AXTC</v>
      </c>
      <c r="F713" s="4" t="s">
        <v>698</v>
      </c>
      <c r="G713" s="4">
        <v>16</v>
      </c>
      <c r="H713" s="4">
        <v>6</v>
      </c>
      <c r="I713" s="4">
        <v>0</v>
      </c>
    </row>
    <row r="714" spans="1:9" ht="15.75" thickBot="1" x14ac:dyDescent="0.3">
      <c r="A714" s="3">
        <v>378</v>
      </c>
      <c r="B714" s="3" t="str">
        <f>"20168273I"</f>
        <v>20168273I</v>
      </c>
      <c r="C714" s="5" t="s">
        <v>734</v>
      </c>
      <c r="D714" s="4" t="s">
        <v>11</v>
      </c>
      <c r="E714" s="4" t="str">
        <f>"AXTP"</f>
        <v>AXTP</v>
      </c>
      <c r="F714" s="4" t="s">
        <v>698</v>
      </c>
      <c r="G714" s="4">
        <v>4</v>
      </c>
      <c r="H714" s="4">
        <v>6</v>
      </c>
      <c r="I714" s="4">
        <v>0</v>
      </c>
    </row>
    <row r="715" spans="1:9" ht="15.75" thickBot="1" x14ac:dyDescent="0.3">
      <c r="A715" s="3">
        <v>380</v>
      </c>
      <c r="B715" s="3" t="str">
        <f>"19888308A"</f>
        <v>19888308A</v>
      </c>
      <c r="C715" s="5" t="s">
        <v>735</v>
      </c>
      <c r="D715" s="4" t="s">
        <v>11</v>
      </c>
      <c r="E715" s="4" t="str">
        <f>"ASTC"</f>
        <v>ASTC</v>
      </c>
      <c r="F715" s="4" t="s">
        <v>698</v>
      </c>
      <c r="G715" s="4">
        <v>23</v>
      </c>
      <c r="H715" s="4">
        <v>5</v>
      </c>
      <c r="I715" s="4">
        <v>18</v>
      </c>
    </row>
    <row r="716" spans="1:9" ht="15.75" thickBot="1" x14ac:dyDescent="0.3">
      <c r="A716" s="3">
        <v>383</v>
      </c>
      <c r="B716" s="3" t="str">
        <f>"19918306A"</f>
        <v>19918306A</v>
      </c>
      <c r="C716" s="5" t="s">
        <v>736</v>
      </c>
      <c r="D716" s="4" t="s">
        <v>11</v>
      </c>
      <c r="E716" s="4" t="str">
        <f>"PRTC"</f>
        <v>PRTC</v>
      </c>
      <c r="F716" s="4" t="s">
        <v>698</v>
      </c>
      <c r="G716" s="4">
        <v>12</v>
      </c>
      <c r="H716" s="4">
        <v>10</v>
      </c>
      <c r="I716" s="4">
        <v>2</v>
      </c>
    </row>
    <row r="717" spans="1:9" ht="15.75" thickBot="1" x14ac:dyDescent="0.3">
      <c r="A717" s="3">
        <v>385</v>
      </c>
      <c r="B717" s="3" t="str">
        <f>"20188306J"</f>
        <v>20188306J</v>
      </c>
      <c r="C717" s="5" t="s">
        <v>737</v>
      </c>
      <c r="D717" s="4" t="s">
        <v>11</v>
      </c>
      <c r="E717" s="4" t="str">
        <f>"AXTC"</f>
        <v>AXTC</v>
      </c>
      <c r="F717" s="4" t="s">
        <v>698</v>
      </c>
      <c r="G717" s="4">
        <v>4</v>
      </c>
      <c r="H717" s="4">
        <v>6</v>
      </c>
      <c r="I717" s="4">
        <v>0</v>
      </c>
    </row>
    <row r="718" spans="1:9" ht="15.75" thickBot="1" x14ac:dyDescent="0.3">
      <c r="A718" s="3">
        <v>390</v>
      </c>
      <c r="B718" s="3" t="str">
        <f>"19978303I"</f>
        <v>19978303I</v>
      </c>
      <c r="C718" s="5" t="s">
        <v>738</v>
      </c>
      <c r="D718" s="4" t="s">
        <v>11</v>
      </c>
      <c r="E718" s="4" t="str">
        <f>"AXTC"</f>
        <v>AXTC</v>
      </c>
      <c r="F718" s="4" t="s">
        <v>698</v>
      </c>
      <c r="G718" s="4">
        <v>16</v>
      </c>
      <c r="H718" s="4">
        <v>6</v>
      </c>
      <c r="I718" s="4">
        <v>0</v>
      </c>
    </row>
    <row r="719" spans="1:9" ht="15.75" thickBot="1" x14ac:dyDescent="0.3">
      <c r="A719" s="3">
        <v>392</v>
      </c>
      <c r="B719" s="3" t="str">
        <f>"19798304G"</f>
        <v>19798304G</v>
      </c>
      <c r="C719" s="5" t="s">
        <v>739</v>
      </c>
      <c r="D719" s="4" t="s">
        <v>11</v>
      </c>
      <c r="E719" s="4" t="str">
        <f>"ASTC"</f>
        <v>ASTC</v>
      </c>
      <c r="F719" s="4" t="s">
        <v>698</v>
      </c>
      <c r="G719" s="4">
        <v>25</v>
      </c>
      <c r="H719" s="4">
        <v>6</v>
      </c>
      <c r="I719" s="4">
        <v>18</v>
      </c>
    </row>
    <row r="720" spans="1:9" ht="15.75" thickBot="1" x14ac:dyDescent="0.3">
      <c r="A720" s="3">
        <v>397</v>
      </c>
      <c r="B720" s="3" t="str">
        <f>"19878305J"</f>
        <v>19878305J</v>
      </c>
      <c r="C720" s="5" t="s">
        <v>740</v>
      </c>
      <c r="D720" s="4" t="s">
        <v>11</v>
      </c>
      <c r="E720" s="4" t="str">
        <f>"PRTC"</f>
        <v>PRTC</v>
      </c>
      <c r="F720" s="4" t="s">
        <v>698</v>
      </c>
      <c r="G720" s="4">
        <v>23</v>
      </c>
      <c r="H720" s="4">
        <v>7</v>
      </c>
      <c r="I720" s="4">
        <v>17</v>
      </c>
    </row>
    <row r="721" spans="1:9" ht="15.75" thickBot="1" x14ac:dyDescent="0.3">
      <c r="A721" s="3">
        <v>400</v>
      </c>
      <c r="B721" s="3" t="str">
        <f>"19898304I"</f>
        <v>19898304I</v>
      </c>
      <c r="C721" s="5" t="s">
        <v>741</v>
      </c>
      <c r="D721" s="4" t="s">
        <v>11</v>
      </c>
      <c r="E721" s="4" t="str">
        <f>"ASTC"</f>
        <v>ASTC</v>
      </c>
      <c r="F721" s="4" t="s">
        <v>698</v>
      </c>
      <c r="G721" s="4">
        <v>26</v>
      </c>
      <c r="H721" s="4">
        <v>8</v>
      </c>
      <c r="I721" s="4">
        <v>11</v>
      </c>
    </row>
    <row r="722" spans="1:9" ht="15.75" thickBot="1" x14ac:dyDescent="0.3">
      <c r="A722" s="3">
        <v>406</v>
      </c>
      <c r="B722" s="3" t="str">
        <f>"19748309E"</f>
        <v>19748309E</v>
      </c>
      <c r="C722" s="5" t="s">
        <v>742</v>
      </c>
      <c r="D722" s="4" t="s">
        <v>11</v>
      </c>
      <c r="E722" s="4" t="str">
        <f>"PRTP"</f>
        <v>PRTP</v>
      </c>
      <c r="F722" s="4" t="s">
        <v>698</v>
      </c>
      <c r="G722" s="4">
        <v>21</v>
      </c>
      <c r="H722" s="4">
        <v>7</v>
      </c>
      <c r="I722" s="4">
        <v>14</v>
      </c>
    </row>
    <row r="723" spans="1:9" ht="15.75" thickBot="1" x14ac:dyDescent="0.3">
      <c r="A723" s="3">
        <v>411</v>
      </c>
      <c r="B723" s="3" t="str">
        <f>"19858308C"</f>
        <v>19858308C</v>
      </c>
      <c r="C723" s="5" t="s">
        <v>743</v>
      </c>
      <c r="D723" s="4" t="s">
        <v>11</v>
      </c>
      <c r="E723" s="4" t="str">
        <f>"PRTC"</f>
        <v>PRTC</v>
      </c>
      <c r="F723" s="4" t="s">
        <v>698</v>
      </c>
      <c r="G723" s="4">
        <v>23</v>
      </c>
      <c r="H723" s="4">
        <v>7</v>
      </c>
      <c r="I723" s="4">
        <v>17</v>
      </c>
    </row>
    <row r="724" spans="1:9" ht="15.75" thickBot="1" x14ac:dyDescent="0.3">
      <c r="A724" s="3">
        <v>421</v>
      </c>
      <c r="B724" s="3" t="str">
        <f>"20208296D"</f>
        <v>20208296D</v>
      </c>
      <c r="C724" s="5" t="s">
        <v>744</v>
      </c>
      <c r="D724" s="4" t="s">
        <v>11</v>
      </c>
      <c r="E724" s="4" t="str">
        <f>"AXTP"</f>
        <v>AXTP</v>
      </c>
      <c r="F724" s="4" t="s">
        <v>698</v>
      </c>
      <c r="G724" s="4">
        <v>4</v>
      </c>
      <c r="H724" s="4">
        <v>6</v>
      </c>
      <c r="I724" s="4">
        <v>0</v>
      </c>
    </row>
    <row r="725" spans="1:9" ht="15.75" thickBot="1" x14ac:dyDescent="0.3">
      <c r="A725" s="3">
        <v>444</v>
      </c>
      <c r="B725" s="3" t="str">
        <f>"20038351J"</f>
        <v>20038351J</v>
      </c>
      <c r="C725" s="5" t="s">
        <v>745</v>
      </c>
      <c r="D725" s="4" t="s">
        <v>11</v>
      </c>
      <c r="E725" s="4" t="str">
        <f>"AXTP"</f>
        <v>AXTP</v>
      </c>
      <c r="F725" s="4" t="s">
        <v>698</v>
      </c>
      <c r="G725" s="4">
        <v>23</v>
      </c>
      <c r="H725" s="4">
        <v>6</v>
      </c>
      <c r="I725" s="4">
        <v>0</v>
      </c>
    </row>
    <row r="726" spans="1:9" ht="15.75" thickBot="1" x14ac:dyDescent="0.3">
      <c r="A726" s="3">
        <v>448</v>
      </c>
      <c r="B726" s="3" t="str">
        <f>"19848353F"</f>
        <v>19848353F</v>
      </c>
      <c r="C726" s="5" t="s">
        <v>746</v>
      </c>
      <c r="D726" s="4" t="s">
        <v>11</v>
      </c>
      <c r="E726" s="4" t="str">
        <f>"PRTC"</f>
        <v>PRTC</v>
      </c>
      <c r="F726" s="4" t="s">
        <v>698</v>
      </c>
      <c r="G726" s="4">
        <v>13</v>
      </c>
      <c r="H726" s="4">
        <v>2</v>
      </c>
      <c r="I726" s="4">
        <v>5</v>
      </c>
    </row>
    <row r="727" spans="1:9" ht="15.75" thickBot="1" x14ac:dyDescent="0.3">
      <c r="A727" s="3">
        <v>455</v>
      </c>
      <c r="B727" s="3" t="str">
        <f>"19988355A"</f>
        <v>19988355A</v>
      </c>
      <c r="C727" s="5" t="s">
        <v>747</v>
      </c>
      <c r="D727" s="4" t="s">
        <v>11</v>
      </c>
      <c r="E727" s="4" t="str">
        <f>"AXTP"</f>
        <v>AXTP</v>
      </c>
      <c r="F727" s="4" t="s">
        <v>698</v>
      </c>
      <c r="G727" s="4">
        <v>4</v>
      </c>
      <c r="H727" s="4">
        <v>6</v>
      </c>
      <c r="I727" s="4">
        <v>0</v>
      </c>
    </row>
    <row r="728" spans="1:9" ht="15.75" thickBot="1" x14ac:dyDescent="0.3">
      <c r="A728" s="3">
        <v>475</v>
      </c>
      <c r="B728" s="3" t="str">
        <f>"19848372K"</f>
        <v>19848372K</v>
      </c>
      <c r="C728" s="5" t="s">
        <v>748</v>
      </c>
      <c r="D728" s="4" t="s">
        <v>11</v>
      </c>
      <c r="E728" s="4" t="str">
        <f>"ASTP"</f>
        <v>ASTP</v>
      </c>
      <c r="F728" s="4" t="s">
        <v>698</v>
      </c>
      <c r="G728" s="4">
        <v>27</v>
      </c>
      <c r="H728" s="4">
        <v>3</v>
      </c>
      <c r="I728" s="4">
        <v>14</v>
      </c>
    </row>
    <row r="729" spans="1:9" ht="15.75" thickBot="1" x14ac:dyDescent="0.3">
      <c r="A729" s="3">
        <v>484</v>
      </c>
      <c r="B729" s="3" t="str">
        <f>"20198401E"</f>
        <v>20198401E</v>
      </c>
      <c r="C729" s="5" t="s">
        <v>749</v>
      </c>
      <c r="D729" s="4" t="s">
        <v>11</v>
      </c>
      <c r="E729" s="4" t="str">
        <f>"AXTC"</f>
        <v>AXTC</v>
      </c>
      <c r="F729" s="4" t="s">
        <v>698</v>
      </c>
      <c r="G729" s="4">
        <v>4</v>
      </c>
      <c r="H729" s="4">
        <v>6</v>
      </c>
      <c r="I729" s="4">
        <v>0</v>
      </c>
    </row>
    <row r="730" spans="1:9" ht="15.75" thickBot="1" x14ac:dyDescent="0.3">
      <c r="A730" s="3">
        <v>493</v>
      </c>
      <c r="B730" s="3" t="str">
        <f>"20138420C"</f>
        <v>20138420C</v>
      </c>
      <c r="C730" s="5" t="s">
        <v>750</v>
      </c>
      <c r="D730" s="4" t="s">
        <v>11</v>
      </c>
      <c r="E730" s="4" t="str">
        <f>"AXTC"</f>
        <v>AXTC</v>
      </c>
      <c r="F730" s="4" t="s">
        <v>698</v>
      </c>
      <c r="G730" s="4">
        <v>4</v>
      </c>
      <c r="H730" s="4">
        <v>6</v>
      </c>
      <c r="I730" s="4">
        <v>0</v>
      </c>
    </row>
    <row r="731" spans="1:9" ht="15.75" thickBot="1" x14ac:dyDescent="0.3">
      <c r="A731" s="3">
        <v>501</v>
      </c>
      <c r="B731" s="3" t="str">
        <f>"19878441K"</f>
        <v>19878441K</v>
      </c>
      <c r="C731" s="5" t="s">
        <v>751</v>
      </c>
      <c r="D731" s="4" t="s">
        <v>11</v>
      </c>
      <c r="E731" s="4" t="str">
        <f>"PRTC"</f>
        <v>PRTC</v>
      </c>
      <c r="F731" s="4" t="s">
        <v>698</v>
      </c>
      <c r="G731" s="4">
        <v>28</v>
      </c>
      <c r="H731" s="4">
        <v>0</v>
      </c>
      <c r="I731" s="4">
        <v>10</v>
      </c>
    </row>
    <row r="732" spans="1:9" ht="15.75" thickBot="1" x14ac:dyDescent="0.3">
      <c r="A732" s="3">
        <v>507</v>
      </c>
      <c r="B732" s="3" t="str">
        <f>"20228401H"</f>
        <v>20228401H</v>
      </c>
      <c r="C732" s="5" t="s">
        <v>752</v>
      </c>
      <c r="D732" s="4" t="s">
        <v>11</v>
      </c>
      <c r="E732" s="4" t="str">
        <f>"AXTC"</f>
        <v>AXTC</v>
      </c>
      <c r="F732" s="4" t="s">
        <v>698</v>
      </c>
      <c r="G732" s="4">
        <v>3</v>
      </c>
      <c r="H732" s="4">
        <v>6</v>
      </c>
      <c r="I732" s="4">
        <v>24</v>
      </c>
    </row>
    <row r="733" spans="1:9" ht="15.75" thickBot="1" x14ac:dyDescent="0.3">
      <c r="A733" s="3">
        <v>517</v>
      </c>
      <c r="B733" s="3" t="str">
        <f>"19788441A"</f>
        <v>19788441A</v>
      </c>
      <c r="C733" s="5" t="s">
        <v>753</v>
      </c>
      <c r="D733" s="4" t="s">
        <v>11</v>
      </c>
      <c r="E733" s="4" t="str">
        <f>"PRTC"</f>
        <v>PRTC</v>
      </c>
      <c r="F733" s="4" t="s">
        <v>698</v>
      </c>
      <c r="G733" s="4">
        <v>29</v>
      </c>
      <c r="H733" s="4">
        <v>8</v>
      </c>
      <c r="I733" s="4">
        <v>7</v>
      </c>
    </row>
    <row r="734" spans="1:9" ht="15.75" thickBot="1" x14ac:dyDescent="0.3">
      <c r="A734" s="3">
        <v>544</v>
      </c>
      <c r="B734" s="3" t="str">
        <f>"19898441F"</f>
        <v>19898441F</v>
      </c>
      <c r="C734" s="5" t="s">
        <v>754</v>
      </c>
      <c r="D734" s="4" t="s">
        <v>11</v>
      </c>
      <c r="E734" s="4" t="str">
        <f>"ASTC"</f>
        <v>ASTC</v>
      </c>
      <c r="F734" s="4" t="s">
        <v>698</v>
      </c>
      <c r="G734" s="4">
        <v>27</v>
      </c>
      <c r="H734" s="4">
        <v>3</v>
      </c>
      <c r="I734" s="4">
        <v>14</v>
      </c>
    </row>
    <row r="735" spans="1:9" ht="15.75" thickBot="1" x14ac:dyDescent="0.3">
      <c r="A735" s="3">
        <v>554</v>
      </c>
      <c r="B735" s="3" t="str">
        <f>"19958505E"</f>
        <v>19958505E</v>
      </c>
      <c r="C735" s="5" t="s">
        <v>755</v>
      </c>
      <c r="D735" s="4" t="s">
        <v>11</v>
      </c>
      <c r="E735" s="4" t="str">
        <f>"PRTC"</f>
        <v>PRTC</v>
      </c>
      <c r="F735" s="4" t="s">
        <v>698</v>
      </c>
      <c r="G735" s="4">
        <v>14</v>
      </c>
      <c r="H735" s="4">
        <v>1</v>
      </c>
      <c r="I735" s="4">
        <v>0</v>
      </c>
    </row>
    <row r="736" spans="1:9" ht="15.75" thickBot="1" x14ac:dyDescent="0.3">
      <c r="A736" s="3">
        <v>566</v>
      </c>
      <c r="B736" s="3" t="str">
        <f>"20188501G"</f>
        <v>20188501G</v>
      </c>
      <c r="C736" s="5" t="s">
        <v>756</v>
      </c>
      <c r="D736" s="4" t="s">
        <v>11</v>
      </c>
      <c r="E736" s="4" t="str">
        <f>"AXTP"</f>
        <v>AXTP</v>
      </c>
      <c r="F736" s="4" t="s">
        <v>698</v>
      </c>
      <c r="G736" s="4">
        <v>4</v>
      </c>
      <c r="H736" s="4">
        <v>6</v>
      </c>
      <c r="I736" s="4">
        <v>0</v>
      </c>
    </row>
    <row r="737" spans="1:9" ht="15.75" thickBot="1" x14ac:dyDescent="0.3">
      <c r="A737" s="3">
        <v>567</v>
      </c>
      <c r="B737" s="3" t="str">
        <f>"19868508E"</f>
        <v>19868508E</v>
      </c>
      <c r="C737" s="5" t="s">
        <v>757</v>
      </c>
      <c r="D737" s="4" t="s">
        <v>11</v>
      </c>
      <c r="E737" s="4" t="str">
        <f>"AXTC"</f>
        <v>AXTC</v>
      </c>
      <c r="F737" s="4" t="s">
        <v>698</v>
      </c>
      <c r="G737" s="4">
        <v>16</v>
      </c>
      <c r="H737" s="4">
        <v>6</v>
      </c>
      <c r="I737" s="4">
        <v>0</v>
      </c>
    </row>
    <row r="738" spans="1:9" ht="15.75" thickBot="1" x14ac:dyDescent="0.3">
      <c r="A738" s="3">
        <v>606</v>
      </c>
      <c r="B738" s="3" t="str">
        <f>"20208506I"</f>
        <v>20208506I</v>
      </c>
      <c r="C738" s="5" t="s">
        <v>758</v>
      </c>
      <c r="D738" s="4" t="s">
        <v>11</v>
      </c>
      <c r="E738" s="4" t="str">
        <f>"AXTP"</f>
        <v>AXTP</v>
      </c>
      <c r="F738" s="4" t="s">
        <v>698</v>
      </c>
      <c r="G738" s="4">
        <v>4</v>
      </c>
      <c r="H738" s="4">
        <v>6</v>
      </c>
      <c r="I738" s="4">
        <v>0</v>
      </c>
    </row>
    <row r="739" spans="1:9" ht="15.75" thickBot="1" x14ac:dyDescent="0.3">
      <c r="A739" s="3">
        <v>609</v>
      </c>
      <c r="B739" s="3" t="str">
        <f>"20208499B"</f>
        <v>20208499B</v>
      </c>
      <c r="C739" s="5" t="s">
        <v>759</v>
      </c>
      <c r="D739" s="4" t="s">
        <v>11</v>
      </c>
      <c r="E739" s="4" t="str">
        <f>"AXTC"</f>
        <v>AXTC</v>
      </c>
      <c r="F739" s="4" t="s">
        <v>698</v>
      </c>
      <c r="G739" s="4">
        <v>4</v>
      </c>
      <c r="H739" s="4">
        <v>6</v>
      </c>
      <c r="I739" s="4">
        <v>0</v>
      </c>
    </row>
    <row r="740" spans="1:9" ht="15.75" thickBot="1" x14ac:dyDescent="0.3">
      <c r="A740" s="3">
        <v>649</v>
      </c>
      <c r="B740" s="3" t="str">
        <f>"20208497J"</f>
        <v>20208497J</v>
      </c>
      <c r="C740" s="5" t="s">
        <v>760</v>
      </c>
      <c r="D740" s="4" t="s">
        <v>11</v>
      </c>
      <c r="E740" s="4" t="str">
        <f>"AXTP"</f>
        <v>AXTP</v>
      </c>
      <c r="F740" s="4" t="s">
        <v>698</v>
      </c>
      <c r="G740" s="4">
        <v>4</v>
      </c>
      <c r="H740" s="4">
        <v>6</v>
      </c>
      <c r="I740" s="4">
        <v>0</v>
      </c>
    </row>
    <row r="741" spans="1:9" ht="15.75" thickBot="1" x14ac:dyDescent="0.3">
      <c r="A741" s="3">
        <v>658</v>
      </c>
      <c r="B741" s="3" t="str">
        <f>"19878512E"</f>
        <v>19878512E</v>
      </c>
      <c r="C741" s="5" t="s">
        <v>761</v>
      </c>
      <c r="D741" s="4" t="s">
        <v>11</v>
      </c>
      <c r="E741" s="4" t="str">
        <f>"PRTC"</f>
        <v>PRTC</v>
      </c>
      <c r="F741" s="4" t="s">
        <v>698</v>
      </c>
      <c r="G741" s="4">
        <v>24</v>
      </c>
      <c r="H741" s="4">
        <v>11</v>
      </c>
      <c r="I741" s="4">
        <v>15</v>
      </c>
    </row>
    <row r="742" spans="1:9" ht="15.75" thickBot="1" x14ac:dyDescent="0.3">
      <c r="A742" s="3">
        <v>667</v>
      </c>
      <c r="B742" s="3" t="str">
        <f>"20218514D"</f>
        <v>20218514D</v>
      </c>
      <c r="C742" s="5" t="s">
        <v>762</v>
      </c>
      <c r="D742" s="4" t="s">
        <v>717</v>
      </c>
      <c r="E742" s="4" t="str">
        <f>"AXTP"</f>
        <v>AXTP</v>
      </c>
      <c r="F742" s="4" t="s">
        <v>698</v>
      </c>
      <c r="G742" s="4">
        <v>3</v>
      </c>
      <c r="H742" s="4">
        <v>9</v>
      </c>
      <c r="I742" s="4">
        <v>0</v>
      </c>
    </row>
    <row r="743" spans="1:9" ht="15.75" thickBot="1" x14ac:dyDescent="0.3">
      <c r="A743" s="3">
        <v>686</v>
      </c>
      <c r="B743" s="3" t="str">
        <f>"19838561E"</f>
        <v>19838561E</v>
      </c>
      <c r="C743" s="5" t="s">
        <v>763</v>
      </c>
      <c r="D743" s="4" t="s">
        <v>11</v>
      </c>
      <c r="E743" s="4" t="str">
        <f>"ASTC"</f>
        <v>ASTC</v>
      </c>
      <c r="F743" s="4" t="s">
        <v>698</v>
      </c>
      <c r="G743" s="4">
        <v>28</v>
      </c>
      <c r="H743" s="4">
        <v>9</v>
      </c>
      <c r="I743" s="4">
        <v>28</v>
      </c>
    </row>
    <row r="744" spans="1:9" ht="15.75" thickBot="1" x14ac:dyDescent="0.3">
      <c r="A744" s="3">
        <v>707</v>
      </c>
      <c r="B744" s="3" t="str">
        <f>"20168582A"</f>
        <v>20168582A</v>
      </c>
      <c r="C744" s="5" t="s">
        <v>764</v>
      </c>
      <c r="D744" s="4" t="s">
        <v>11</v>
      </c>
      <c r="E744" s="4" t="str">
        <f>"AXTP"</f>
        <v>AXTP</v>
      </c>
      <c r="F744" s="4" t="s">
        <v>698</v>
      </c>
      <c r="G744" s="4">
        <v>4</v>
      </c>
      <c r="H744" s="4">
        <v>6</v>
      </c>
      <c r="I744" s="4">
        <v>0</v>
      </c>
    </row>
    <row r="745" spans="1:9" ht="15.75" thickBot="1" x14ac:dyDescent="0.3">
      <c r="A745" s="3">
        <v>712</v>
      </c>
      <c r="B745" s="3" t="str">
        <f>"19988581A"</f>
        <v>19988581A</v>
      </c>
      <c r="C745" s="5" t="s">
        <v>765</v>
      </c>
      <c r="D745" s="4" t="s">
        <v>11</v>
      </c>
      <c r="E745" s="4" t="str">
        <f>"AXTC"</f>
        <v>AXTC</v>
      </c>
      <c r="F745" s="4" t="s">
        <v>698</v>
      </c>
      <c r="G745" s="4">
        <v>16</v>
      </c>
      <c r="H745" s="4">
        <v>6</v>
      </c>
      <c r="I745" s="4">
        <v>0</v>
      </c>
    </row>
    <row r="746" spans="1:9" ht="15.75" thickBot="1" x14ac:dyDescent="0.3">
      <c r="A746" s="3">
        <v>719</v>
      </c>
      <c r="B746" s="3" t="str">
        <f>"19878607F"</f>
        <v>19878607F</v>
      </c>
      <c r="C746" s="5" t="s">
        <v>766</v>
      </c>
      <c r="D746" s="4" t="s">
        <v>11</v>
      </c>
      <c r="E746" s="4" t="str">
        <f>"AXTC"</f>
        <v>AXTC</v>
      </c>
      <c r="F746" s="4" t="s">
        <v>698</v>
      </c>
      <c r="G746" s="4">
        <v>4</v>
      </c>
      <c r="H746" s="4">
        <v>6</v>
      </c>
      <c r="I746" s="4">
        <v>0</v>
      </c>
    </row>
    <row r="747" spans="1:9" ht="15.75" thickBot="1" x14ac:dyDescent="0.3">
      <c r="A747" s="3">
        <v>721</v>
      </c>
      <c r="B747" s="3" t="str">
        <f>"19748630H"</f>
        <v>19748630H</v>
      </c>
      <c r="C747" s="5" t="s">
        <v>767</v>
      </c>
      <c r="D747" s="4" t="s">
        <v>11</v>
      </c>
      <c r="E747" s="4" t="str">
        <f>"PRTC"</f>
        <v>PRTC</v>
      </c>
      <c r="F747" s="4" t="s">
        <v>698</v>
      </c>
      <c r="G747" s="4">
        <v>30</v>
      </c>
      <c r="H747" s="4">
        <v>3</v>
      </c>
      <c r="I747" s="4">
        <v>4</v>
      </c>
    </row>
    <row r="748" spans="1:9" ht="15.75" thickBot="1" x14ac:dyDescent="0.3">
      <c r="A748" s="3">
        <v>724</v>
      </c>
      <c r="B748" s="3" t="str">
        <f>"19778603I"</f>
        <v>19778603I</v>
      </c>
      <c r="C748" s="5" t="s">
        <v>768</v>
      </c>
      <c r="D748" s="4" t="s">
        <v>11</v>
      </c>
      <c r="E748" s="4" t="str">
        <f>"PRTC"</f>
        <v>PRTC</v>
      </c>
      <c r="F748" s="4" t="s">
        <v>698</v>
      </c>
      <c r="G748" s="4">
        <v>28</v>
      </c>
      <c r="H748" s="4">
        <v>9</v>
      </c>
      <c r="I748" s="4">
        <v>28</v>
      </c>
    </row>
    <row r="749" spans="1:9" ht="15.75" thickBot="1" x14ac:dyDescent="0.3">
      <c r="A749" s="3">
        <v>740</v>
      </c>
      <c r="B749" s="3" t="str">
        <f>"19808617B"</f>
        <v>19808617B</v>
      </c>
      <c r="C749" s="5" t="s">
        <v>769</v>
      </c>
      <c r="D749" s="4" t="s">
        <v>11</v>
      </c>
      <c r="E749" s="4" t="str">
        <f>"PRTC"</f>
        <v>PRTC</v>
      </c>
      <c r="F749" s="4" t="s">
        <v>698</v>
      </c>
      <c r="G749" s="4">
        <v>27</v>
      </c>
      <c r="H749" s="4">
        <v>8</v>
      </c>
      <c r="I749" s="4">
        <v>0</v>
      </c>
    </row>
    <row r="750" spans="1:9" ht="15.75" thickBot="1" x14ac:dyDescent="0.3">
      <c r="A750" s="3">
        <v>756</v>
      </c>
      <c r="B750" s="3" t="str">
        <f>"19798603D"</f>
        <v>19798603D</v>
      </c>
      <c r="C750" s="5" t="s">
        <v>770</v>
      </c>
      <c r="D750" s="4" t="s">
        <v>11</v>
      </c>
      <c r="E750" s="4" t="str">
        <f>"AXTC"</f>
        <v>AXTC</v>
      </c>
      <c r="F750" s="4" t="s">
        <v>698</v>
      </c>
      <c r="G750" s="4">
        <v>14</v>
      </c>
      <c r="H750" s="4">
        <v>1</v>
      </c>
      <c r="I750" s="4">
        <v>0</v>
      </c>
    </row>
    <row r="751" spans="1:9" ht="15.75" thickBot="1" x14ac:dyDescent="0.3">
      <c r="A751" s="3">
        <v>764</v>
      </c>
      <c r="B751" s="3" t="str">
        <f>"20008605C"</f>
        <v>20008605C</v>
      </c>
      <c r="C751" s="5" t="s">
        <v>771</v>
      </c>
      <c r="D751" s="4" t="s">
        <v>11</v>
      </c>
      <c r="E751" s="4" t="str">
        <f>"ASTC"</f>
        <v>ASTC</v>
      </c>
      <c r="F751" s="4" t="s">
        <v>698</v>
      </c>
      <c r="G751" s="4">
        <v>13</v>
      </c>
      <c r="H751" s="4">
        <v>2</v>
      </c>
      <c r="I751" s="4">
        <v>14</v>
      </c>
    </row>
    <row r="752" spans="1:9" ht="15.75" thickBot="1" x14ac:dyDescent="0.3">
      <c r="A752" s="3">
        <v>772</v>
      </c>
      <c r="B752" s="3" t="str">
        <f>"20178604H"</f>
        <v>20178604H</v>
      </c>
      <c r="C752" s="5" t="s">
        <v>772</v>
      </c>
      <c r="D752" s="4" t="s">
        <v>11</v>
      </c>
      <c r="E752" s="4" t="str">
        <f>"AXTC"</f>
        <v>AXTC</v>
      </c>
      <c r="F752" s="4" t="s">
        <v>698</v>
      </c>
      <c r="G752" s="4">
        <v>4</v>
      </c>
      <c r="H752" s="4">
        <v>6</v>
      </c>
      <c r="I752" s="4">
        <v>0</v>
      </c>
    </row>
    <row r="753" spans="1:9" ht="15.75" thickBot="1" x14ac:dyDescent="0.3">
      <c r="A753" s="3">
        <v>782</v>
      </c>
      <c r="B753" s="3" t="str">
        <f>"19958606F"</f>
        <v>19958606F</v>
      </c>
      <c r="C753" s="5" t="s">
        <v>773</v>
      </c>
      <c r="D753" s="4" t="s">
        <v>11</v>
      </c>
      <c r="E753" s="4" t="str">
        <f>"ASTC"</f>
        <v>ASTC</v>
      </c>
      <c r="F753" s="4" t="s">
        <v>698</v>
      </c>
      <c r="G753" s="4">
        <v>23</v>
      </c>
      <c r="H753" s="4">
        <v>7</v>
      </c>
      <c r="I753" s="4">
        <v>17</v>
      </c>
    </row>
    <row r="754" spans="1:9" ht="15.75" thickBot="1" x14ac:dyDescent="0.3">
      <c r="A754" s="3">
        <v>817</v>
      </c>
      <c r="B754" s="3" t="str">
        <f>"20018662J"</f>
        <v>20018662J</v>
      </c>
      <c r="C754" s="5" t="s">
        <v>774</v>
      </c>
      <c r="D754" s="4" t="s">
        <v>11</v>
      </c>
      <c r="E754" s="4" t="str">
        <f>"AXTP"</f>
        <v>AXTP</v>
      </c>
      <c r="F754" s="4" t="s">
        <v>698</v>
      </c>
      <c r="G754" s="4">
        <v>4</v>
      </c>
      <c r="H754" s="4">
        <v>6</v>
      </c>
      <c r="I754" s="4">
        <v>0</v>
      </c>
    </row>
    <row r="755" spans="1:9" ht="15.75" thickBot="1" x14ac:dyDescent="0.3">
      <c r="A755" s="3">
        <v>825</v>
      </c>
      <c r="B755" s="3" t="str">
        <f>"20208647A"</f>
        <v>20208647A</v>
      </c>
      <c r="C755" s="5" t="s">
        <v>775</v>
      </c>
      <c r="D755" s="4" t="s">
        <v>11</v>
      </c>
      <c r="E755" s="4" t="str">
        <f>"AXTP"</f>
        <v>AXTP</v>
      </c>
      <c r="F755" s="4" t="s">
        <v>698</v>
      </c>
      <c r="G755" s="4">
        <v>3</v>
      </c>
      <c r="H755" s="4">
        <v>6</v>
      </c>
      <c r="I755" s="4">
        <v>24</v>
      </c>
    </row>
    <row r="756" spans="1:9" ht="15.75" thickBot="1" x14ac:dyDescent="0.3">
      <c r="A756" s="3">
        <v>832</v>
      </c>
      <c r="B756" s="3" t="str">
        <f>"19898677J"</f>
        <v>19898677J</v>
      </c>
      <c r="C756" s="5" t="s">
        <v>776</v>
      </c>
      <c r="D756" s="4" t="s">
        <v>11</v>
      </c>
      <c r="E756" s="4" t="str">
        <f>"PRTC"</f>
        <v>PRTC</v>
      </c>
      <c r="F756" s="4" t="s">
        <v>698</v>
      </c>
      <c r="G756" s="4">
        <v>13</v>
      </c>
      <c r="H756" s="4">
        <v>2</v>
      </c>
      <c r="I756" s="4">
        <v>14</v>
      </c>
    </row>
    <row r="757" spans="1:9" ht="15.75" thickBot="1" x14ac:dyDescent="0.3">
      <c r="A757" s="3">
        <v>844</v>
      </c>
      <c r="B757" s="3" t="str">
        <f>"19788666C"</f>
        <v>19788666C</v>
      </c>
      <c r="C757" s="5" t="s">
        <v>777</v>
      </c>
      <c r="D757" s="4" t="s">
        <v>11</v>
      </c>
      <c r="E757" s="4" t="str">
        <f>"ASTC"</f>
        <v>ASTC</v>
      </c>
      <c r="F757" s="4" t="s">
        <v>698</v>
      </c>
      <c r="G757" s="4">
        <v>23</v>
      </c>
      <c r="H757" s="4">
        <v>3</v>
      </c>
      <c r="I757" s="4">
        <v>28</v>
      </c>
    </row>
    <row r="758" spans="1:9" ht="15.75" thickBot="1" x14ac:dyDescent="0.3">
      <c r="A758" s="3">
        <v>865</v>
      </c>
      <c r="B758" s="3" t="str">
        <f>"20218594H"</f>
        <v>20218594H</v>
      </c>
      <c r="C758" s="5" t="s">
        <v>778</v>
      </c>
      <c r="D758" s="4" t="s">
        <v>11</v>
      </c>
      <c r="E758" s="4" t="str">
        <f>"AXTP"</f>
        <v>AXTP</v>
      </c>
      <c r="F758" s="4" t="s">
        <v>698</v>
      </c>
      <c r="G758" s="4">
        <v>4</v>
      </c>
      <c r="H758" s="4">
        <v>6</v>
      </c>
      <c r="I758" s="4">
        <v>0</v>
      </c>
    </row>
    <row r="759" spans="1:9" ht="15.75" thickBot="1" x14ac:dyDescent="0.3">
      <c r="A759" s="3">
        <v>876</v>
      </c>
      <c r="B759" s="3" t="str">
        <f>"19808664K"</f>
        <v>19808664K</v>
      </c>
      <c r="C759" s="5" t="s">
        <v>779</v>
      </c>
      <c r="D759" s="4" t="s">
        <v>11</v>
      </c>
      <c r="E759" s="4" t="str">
        <f>"ASTC"</f>
        <v>ASTC</v>
      </c>
      <c r="F759" s="4" t="s">
        <v>698</v>
      </c>
      <c r="G759" s="4">
        <v>23</v>
      </c>
      <c r="H759" s="4">
        <v>7</v>
      </c>
      <c r="I759" s="4">
        <v>17</v>
      </c>
    </row>
    <row r="760" spans="1:9" ht="15.75" thickBot="1" x14ac:dyDescent="0.3">
      <c r="A760" s="3">
        <v>892</v>
      </c>
      <c r="B760" s="3" t="str">
        <f>"19928665D"</f>
        <v>19928665D</v>
      </c>
      <c r="C760" s="5" t="s">
        <v>780</v>
      </c>
      <c r="D760" s="4" t="s">
        <v>11</v>
      </c>
      <c r="E760" s="4" t="str">
        <f>"ASTC"</f>
        <v>ASTC</v>
      </c>
      <c r="F760" s="4" t="s">
        <v>698</v>
      </c>
      <c r="G760" s="4">
        <v>26</v>
      </c>
      <c r="H760" s="4">
        <v>8</v>
      </c>
      <c r="I760" s="4">
        <v>11</v>
      </c>
    </row>
    <row r="761" spans="1:9" ht="15.75" thickBot="1" x14ac:dyDescent="0.3">
      <c r="A761" s="3">
        <v>910</v>
      </c>
      <c r="B761" s="3" t="str">
        <f>"19778713I"</f>
        <v>19778713I</v>
      </c>
      <c r="C761" s="5" t="s">
        <v>781</v>
      </c>
      <c r="D761" s="4" t="s">
        <v>11</v>
      </c>
      <c r="E761" s="4" t="str">
        <f>"AXTC"</f>
        <v>AXTC</v>
      </c>
      <c r="F761" s="4" t="s">
        <v>698</v>
      </c>
      <c r="G761" s="4">
        <v>22</v>
      </c>
      <c r="H761" s="4">
        <v>1</v>
      </c>
      <c r="I761" s="4">
        <v>18</v>
      </c>
    </row>
    <row r="762" spans="1:9" ht="15.75" thickBot="1" x14ac:dyDescent="0.3">
      <c r="A762" s="3">
        <v>921</v>
      </c>
      <c r="B762" s="3" t="str">
        <f>"19838714F"</f>
        <v>19838714F</v>
      </c>
      <c r="C762" s="5" t="s">
        <v>782</v>
      </c>
      <c r="D762" s="4" t="s">
        <v>11</v>
      </c>
      <c r="E762" s="4" t="str">
        <f>"AXTC"</f>
        <v>AXTC</v>
      </c>
      <c r="F762" s="4" t="s">
        <v>698</v>
      </c>
      <c r="G762" s="4">
        <v>23</v>
      </c>
      <c r="H762" s="4">
        <v>4</v>
      </c>
      <c r="I762" s="4">
        <v>4</v>
      </c>
    </row>
    <row r="763" spans="1:9" ht="15.75" thickBot="1" x14ac:dyDescent="0.3">
      <c r="A763" s="3">
        <v>924</v>
      </c>
      <c r="B763" s="3" t="str">
        <f>"19858720A"</f>
        <v>19858720A</v>
      </c>
      <c r="C763" s="5" t="s">
        <v>783</v>
      </c>
      <c r="D763" s="4" t="s">
        <v>11</v>
      </c>
      <c r="E763" s="4" t="str">
        <f>"AXTC"</f>
        <v>AXTC</v>
      </c>
      <c r="F763" s="4" t="s">
        <v>698</v>
      </c>
      <c r="G763" s="4">
        <v>23</v>
      </c>
      <c r="H763" s="4">
        <v>7</v>
      </c>
      <c r="I763" s="4">
        <v>17</v>
      </c>
    </row>
    <row r="764" spans="1:9" ht="15.75" thickBot="1" x14ac:dyDescent="0.3">
      <c r="A764" s="3">
        <v>944</v>
      </c>
      <c r="B764" s="3" t="str">
        <f>"19978716A"</f>
        <v>19978716A</v>
      </c>
      <c r="C764" s="5" t="s">
        <v>784</v>
      </c>
      <c r="D764" s="4" t="s">
        <v>11</v>
      </c>
      <c r="E764" s="4" t="str">
        <f>"ASTP"</f>
        <v>ASTP</v>
      </c>
      <c r="F764" s="4" t="s">
        <v>698</v>
      </c>
      <c r="G764" s="4">
        <v>13</v>
      </c>
      <c r="H764" s="4">
        <v>4</v>
      </c>
      <c r="I764" s="4">
        <v>0</v>
      </c>
    </row>
    <row r="765" spans="1:9" ht="15.75" thickBot="1" x14ac:dyDescent="0.3">
      <c r="A765" s="3">
        <v>945</v>
      </c>
      <c r="B765" s="3" t="str">
        <f>"19748725I"</f>
        <v>19748725I</v>
      </c>
      <c r="C765" s="5" t="s">
        <v>785</v>
      </c>
      <c r="D765" s="4" t="s">
        <v>11</v>
      </c>
      <c r="E765" s="4" t="str">
        <f>"ASTC"</f>
        <v>ASTC</v>
      </c>
      <c r="F765" s="4" t="s">
        <v>698</v>
      </c>
      <c r="G765" s="4">
        <v>40</v>
      </c>
      <c r="H765" s="4">
        <v>9</v>
      </c>
      <c r="I765" s="4">
        <v>10</v>
      </c>
    </row>
    <row r="766" spans="1:9" ht="15.75" thickBot="1" x14ac:dyDescent="0.3">
      <c r="A766" s="3">
        <v>960</v>
      </c>
      <c r="B766" s="3" t="str">
        <f>"19848717H"</f>
        <v>19848717H</v>
      </c>
      <c r="C766" s="5" t="s">
        <v>786</v>
      </c>
      <c r="D766" s="4" t="s">
        <v>11</v>
      </c>
      <c r="E766" s="4" t="str">
        <f>"PRTC"</f>
        <v>PRTC</v>
      </c>
      <c r="F766" s="4" t="s">
        <v>698</v>
      </c>
      <c r="G766" s="4">
        <v>23</v>
      </c>
      <c r="H766" s="4">
        <v>3</v>
      </c>
      <c r="I766" s="4">
        <v>25</v>
      </c>
    </row>
    <row r="767" spans="1:9" ht="15.75" thickBot="1" x14ac:dyDescent="0.3">
      <c r="A767" s="3">
        <v>963</v>
      </c>
      <c r="B767" s="3" t="str">
        <f>"19898726K"</f>
        <v>19898726K</v>
      </c>
      <c r="C767" s="5" t="s">
        <v>787</v>
      </c>
      <c r="D767" s="4" t="s">
        <v>11</v>
      </c>
      <c r="E767" s="4" t="str">
        <f>"PRTC"</f>
        <v>PRTC</v>
      </c>
      <c r="F767" s="4" t="s">
        <v>698</v>
      </c>
      <c r="G767" s="4">
        <v>9</v>
      </c>
      <c r="H767" s="4">
        <v>10</v>
      </c>
      <c r="I767" s="4">
        <v>18</v>
      </c>
    </row>
    <row r="768" spans="1:9" ht="15.75" thickBot="1" x14ac:dyDescent="0.3">
      <c r="A768" s="3">
        <v>964</v>
      </c>
      <c r="B768" s="3" t="str">
        <f>"19828715J"</f>
        <v>19828715J</v>
      </c>
      <c r="C768" s="5" t="s">
        <v>788</v>
      </c>
      <c r="D768" s="4" t="s">
        <v>11</v>
      </c>
      <c r="E768" s="4" t="str">
        <f>"AXTC"</f>
        <v>AXTC</v>
      </c>
      <c r="F768" s="4" t="s">
        <v>698</v>
      </c>
      <c r="G768" s="4">
        <v>14</v>
      </c>
      <c r="H768" s="4">
        <v>6</v>
      </c>
      <c r="I768" s="4">
        <v>0</v>
      </c>
    </row>
    <row r="769" spans="1:9" ht="15.75" thickBot="1" x14ac:dyDescent="0.3">
      <c r="A769" s="3">
        <v>972</v>
      </c>
      <c r="B769" s="3" t="str">
        <f>"19958714C"</f>
        <v>19958714C</v>
      </c>
      <c r="C769" s="5" t="s">
        <v>789</v>
      </c>
      <c r="D769" s="4" t="s">
        <v>11</v>
      </c>
      <c r="E769" s="4" t="str">
        <f>"PRTC"</f>
        <v>PRTC</v>
      </c>
      <c r="F769" s="4" t="s">
        <v>698</v>
      </c>
      <c r="G769" s="4">
        <v>13</v>
      </c>
      <c r="H769" s="4">
        <v>3</v>
      </c>
      <c r="I769" s="4">
        <v>0</v>
      </c>
    </row>
    <row r="770" spans="1:9" ht="15.75" thickBot="1" x14ac:dyDescent="0.3">
      <c r="A770" s="3">
        <v>977</v>
      </c>
      <c r="B770" s="3" t="str">
        <f>"20208752J"</f>
        <v>20208752J</v>
      </c>
      <c r="C770" s="5" t="s">
        <v>790</v>
      </c>
      <c r="D770" s="4" t="s">
        <v>11</v>
      </c>
      <c r="E770" s="4" t="str">
        <f>"AXTC"</f>
        <v>AXTC</v>
      </c>
      <c r="F770" s="4" t="s">
        <v>698</v>
      </c>
      <c r="G770" s="4">
        <v>4</v>
      </c>
      <c r="H770" s="4">
        <v>5</v>
      </c>
      <c r="I770" s="4">
        <v>4</v>
      </c>
    </row>
    <row r="771" spans="1:9" ht="15.75" thickBot="1" x14ac:dyDescent="0.3">
      <c r="A771" s="3">
        <v>983</v>
      </c>
      <c r="B771" s="3" t="str">
        <f>"20218690G"</f>
        <v>20218690G</v>
      </c>
      <c r="C771" s="5" t="s">
        <v>791</v>
      </c>
      <c r="D771" s="4" t="s">
        <v>11</v>
      </c>
      <c r="E771" s="4" t="str">
        <f>"AXTP"</f>
        <v>AXTP</v>
      </c>
      <c r="F771" s="4" t="s">
        <v>698</v>
      </c>
      <c r="G771" s="4">
        <v>4</v>
      </c>
      <c r="H771" s="4">
        <v>6</v>
      </c>
      <c r="I771" s="4">
        <v>0</v>
      </c>
    </row>
    <row r="772" spans="1:9" ht="15.75" thickBot="1" x14ac:dyDescent="0.3">
      <c r="A772" s="3">
        <v>990</v>
      </c>
      <c r="B772" s="3" t="str">
        <f>"19978762C"</f>
        <v>19978762C</v>
      </c>
      <c r="C772" s="5" t="s">
        <v>792</v>
      </c>
      <c r="D772" s="4" t="s">
        <v>11</v>
      </c>
      <c r="E772" s="4" t="str">
        <f>"AXTC"</f>
        <v>AXTC</v>
      </c>
      <c r="F772" s="4" t="s">
        <v>698</v>
      </c>
      <c r="G772" s="4">
        <v>14</v>
      </c>
      <c r="H772" s="4">
        <v>1</v>
      </c>
      <c r="I772" s="4">
        <v>0</v>
      </c>
    </row>
    <row r="773" spans="1:9" ht="15.75" thickBot="1" x14ac:dyDescent="0.3">
      <c r="A773" s="3">
        <v>992</v>
      </c>
      <c r="B773" s="3" t="str">
        <f>"20208751C"</f>
        <v>20208751C</v>
      </c>
      <c r="C773" s="5" t="s">
        <v>793</v>
      </c>
      <c r="D773" s="4" t="s">
        <v>11</v>
      </c>
      <c r="E773" s="4" t="str">
        <f>"AXTP"</f>
        <v>AXTP</v>
      </c>
      <c r="F773" s="4" t="s">
        <v>698</v>
      </c>
      <c r="G773" s="4">
        <v>4</v>
      </c>
      <c r="H773" s="4">
        <v>6</v>
      </c>
      <c r="I773" s="4">
        <v>0</v>
      </c>
    </row>
    <row r="774" spans="1:9" ht="15.75" thickBot="1" x14ac:dyDescent="0.3">
      <c r="A774" s="3">
        <v>1002</v>
      </c>
      <c r="B774" s="3" t="str">
        <f>"19898761K"</f>
        <v>19898761K</v>
      </c>
      <c r="C774" s="5" t="s">
        <v>794</v>
      </c>
      <c r="D774" s="4" t="s">
        <v>11</v>
      </c>
      <c r="E774" s="4" t="str">
        <f>"ASTC"</f>
        <v>ASTC</v>
      </c>
      <c r="F774" s="4" t="s">
        <v>698</v>
      </c>
      <c r="G774" s="4">
        <v>23</v>
      </c>
      <c r="H774" s="4">
        <v>7</v>
      </c>
      <c r="I774" s="4">
        <v>4</v>
      </c>
    </row>
    <row r="775" spans="1:9" ht="15.75" thickBot="1" x14ac:dyDescent="0.3">
      <c r="A775" s="3">
        <v>1014</v>
      </c>
      <c r="B775" s="3" t="str">
        <f>"19918761K"</f>
        <v>19918761K</v>
      </c>
      <c r="C775" s="5" t="s">
        <v>795</v>
      </c>
      <c r="D775" s="4" t="s">
        <v>11</v>
      </c>
      <c r="E775" s="4" t="str">
        <f>"AXTC"</f>
        <v>AXTC</v>
      </c>
      <c r="F775" s="4" t="s">
        <v>698</v>
      </c>
      <c r="G775" s="4">
        <v>23</v>
      </c>
      <c r="H775" s="4">
        <v>7</v>
      </c>
      <c r="I775" s="4">
        <v>4</v>
      </c>
    </row>
    <row r="776" spans="1:9" ht="15.75" thickBot="1" x14ac:dyDescent="0.3">
      <c r="A776" s="3">
        <v>1017</v>
      </c>
      <c r="B776" s="3" t="str">
        <f>"20188801K"</f>
        <v>20188801K</v>
      </c>
      <c r="C776" s="5" t="s">
        <v>796</v>
      </c>
      <c r="D776" s="4" t="s">
        <v>11</v>
      </c>
      <c r="E776" s="4" t="str">
        <f>"AXTC"</f>
        <v>AXTC</v>
      </c>
      <c r="F776" s="4" t="s">
        <v>698</v>
      </c>
      <c r="G776" s="4">
        <v>4</v>
      </c>
      <c r="H776" s="4">
        <v>6</v>
      </c>
      <c r="I776" s="4">
        <v>0</v>
      </c>
    </row>
    <row r="777" spans="1:9" ht="15.75" thickBot="1" x14ac:dyDescent="0.3">
      <c r="A777" s="3">
        <v>1021</v>
      </c>
      <c r="B777" s="3" t="str">
        <f>"19898802I"</f>
        <v>19898802I</v>
      </c>
      <c r="C777" s="5" t="s">
        <v>797</v>
      </c>
      <c r="D777" s="4" t="s">
        <v>11</v>
      </c>
      <c r="E777" s="4" t="str">
        <f>"ASTC"</f>
        <v>ASTC</v>
      </c>
      <c r="F777" s="4" t="s">
        <v>698</v>
      </c>
      <c r="G777" s="4">
        <v>23</v>
      </c>
      <c r="H777" s="4">
        <v>7</v>
      </c>
      <c r="I777" s="4">
        <v>4</v>
      </c>
    </row>
    <row r="778" spans="1:9" ht="15.75" thickBot="1" x14ac:dyDescent="0.3">
      <c r="A778" s="3">
        <v>1041</v>
      </c>
      <c r="B778" s="3" t="str">
        <f>"20218753I"</f>
        <v>20218753I</v>
      </c>
      <c r="C778" s="5" t="s">
        <v>798</v>
      </c>
      <c r="D778" s="4" t="s">
        <v>11</v>
      </c>
      <c r="E778" s="4" t="str">
        <f>"AXTC"</f>
        <v>AXTC</v>
      </c>
      <c r="F778" s="4" t="s">
        <v>698</v>
      </c>
      <c r="G778" s="4">
        <v>4</v>
      </c>
      <c r="H778" s="4">
        <v>6</v>
      </c>
      <c r="I778" s="4">
        <v>0</v>
      </c>
    </row>
    <row r="779" spans="1:9" ht="15.75" thickBot="1" x14ac:dyDescent="0.3">
      <c r="A779" s="3">
        <v>1049</v>
      </c>
      <c r="B779" s="3" t="str">
        <f>"20178822E"</f>
        <v>20178822E</v>
      </c>
      <c r="C779" s="5" t="s">
        <v>799</v>
      </c>
      <c r="D779" s="4" t="s">
        <v>11</v>
      </c>
      <c r="E779" s="4" t="str">
        <f>"AXTC"</f>
        <v>AXTC</v>
      </c>
      <c r="F779" s="4" t="s">
        <v>698</v>
      </c>
      <c r="G779" s="4">
        <v>3</v>
      </c>
      <c r="H779" s="4">
        <v>6</v>
      </c>
      <c r="I779" s="4">
        <v>24</v>
      </c>
    </row>
    <row r="780" spans="1:9" ht="15.75" thickBot="1" x14ac:dyDescent="0.3">
      <c r="A780" s="3">
        <v>1054</v>
      </c>
      <c r="B780" s="3" t="str">
        <f>"19858825H"</f>
        <v>19858825H</v>
      </c>
      <c r="C780" s="5" t="s">
        <v>800</v>
      </c>
      <c r="D780" s="4" t="s">
        <v>11</v>
      </c>
      <c r="E780" s="4" t="str">
        <f>"ASTC"</f>
        <v>ASTC</v>
      </c>
      <c r="F780" s="4" t="s">
        <v>698</v>
      </c>
      <c r="G780" s="4">
        <v>26</v>
      </c>
      <c r="H780" s="4">
        <v>8</v>
      </c>
      <c r="I780" s="4">
        <v>11</v>
      </c>
    </row>
    <row r="781" spans="1:9" ht="15.75" thickBot="1" x14ac:dyDescent="0.3">
      <c r="A781" s="3">
        <v>1062</v>
      </c>
      <c r="B781" s="3" t="str">
        <f>"19868829F"</f>
        <v>19868829F</v>
      </c>
      <c r="C781" s="5" t="s">
        <v>801</v>
      </c>
      <c r="D781" s="4" t="s">
        <v>11</v>
      </c>
      <c r="E781" s="4" t="str">
        <f>"ASTC"</f>
        <v>ASTC</v>
      </c>
      <c r="F781" s="4" t="s">
        <v>698</v>
      </c>
      <c r="G781" s="4">
        <v>26</v>
      </c>
      <c r="H781" s="4">
        <v>7</v>
      </c>
      <c r="I781" s="4">
        <v>9</v>
      </c>
    </row>
    <row r="782" spans="1:9" ht="15.75" thickBot="1" x14ac:dyDescent="0.3">
      <c r="A782" s="3">
        <v>1065</v>
      </c>
      <c r="B782" s="3" t="str">
        <f>"19808825D"</f>
        <v>19808825D</v>
      </c>
      <c r="C782" s="5" t="s">
        <v>802</v>
      </c>
      <c r="D782" s="4" t="s">
        <v>11</v>
      </c>
      <c r="E782" s="4" t="str">
        <f>"PRTC"</f>
        <v>PRTC</v>
      </c>
      <c r="F782" s="4" t="s">
        <v>698</v>
      </c>
      <c r="G782" s="4">
        <v>28</v>
      </c>
      <c r="H782" s="4">
        <v>9</v>
      </c>
      <c r="I782" s="4">
        <v>28</v>
      </c>
    </row>
    <row r="783" spans="1:9" ht="15.75" thickBot="1" x14ac:dyDescent="0.3">
      <c r="A783" s="3">
        <v>1078</v>
      </c>
      <c r="B783" s="3" t="str">
        <f>"19828825J"</f>
        <v>19828825J</v>
      </c>
      <c r="C783" s="5" t="s">
        <v>803</v>
      </c>
      <c r="D783" s="4" t="s">
        <v>11</v>
      </c>
      <c r="E783" s="4" t="str">
        <f>"PRTC"</f>
        <v>PRTC</v>
      </c>
      <c r="F783" s="4" t="s">
        <v>698</v>
      </c>
      <c r="G783" s="4">
        <v>12</v>
      </c>
      <c r="H783" s="4">
        <v>9</v>
      </c>
      <c r="I783" s="4">
        <v>22</v>
      </c>
    </row>
    <row r="784" spans="1:9" ht="15.75" thickBot="1" x14ac:dyDescent="0.3">
      <c r="A784" s="3">
        <v>1081</v>
      </c>
      <c r="B784" s="3" t="str">
        <f>"20178823A"</f>
        <v>20178823A</v>
      </c>
      <c r="C784" s="5" t="s">
        <v>804</v>
      </c>
      <c r="D784" s="4" t="s">
        <v>11</v>
      </c>
      <c r="E784" s="4" t="str">
        <f>"AXTC"</f>
        <v>AXTC</v>
      </c>
      <c r="F784" s="4" t="s">
        <v>698</v>
      </c>
      <c r="G784" s="4">
        <v>4</v>
      </c>
      <c r="H784" s="4">
        <v>6</v>
      </c>
      <c r="I784" s="4">
        <v>0</v>
      </c>
    </row>
    <row r="785" spans="1:9" ht="15.75" thickBot="1" x14ac:dyDescent="0.3">
      <c r="A785" s="3">
        <v>1085</v>
      </c>
      <c r="B785" s="3" t="str">
        <f>"19788804G"</f>
        <v>19788804G</v>
      </c>
      <c r="C785" s="5" t="s">
        <v>805</v>
      </c>
      <c r="D785" s="4" t="s">
        <v>11</v>
      </c>
      <c r="E785" s="4" t="str">
        <f>"PRTC"</f>
        <v>PRTC</v>
      </c>
      <c r="F785" s="4" t="s">
        <v>698</v>
      </c>
      <c r="G785" s="4">
        <v>24</v>
      </c>
      <c r="H785" s="4">
        <v>0</v>
      </c>
      <c r="I785" s="4">
        <v>29</v>
      </c>
    </row>
    <row r="786" spans="1:9" ht="15.75" thickBot="1" x14ac:dyDescent="0.3">
      <c r="A786" s="3">
        <v>1088</v>
      </c>
      <c r="B786" s="3" t="str">
        <f>"19778148J"</f>
        <v>19778148J</v>
      </c>
      <c r="C786" s="5" t="s">
        <v>806</v>
      </c>
      <c r="D786" s="4" t="s">
        <v>11</v>
      </c>
      <c r="E786" s="4" t="str">
        <f>"PRTC"</f>
        <v>PRTC</v>
      </c>
      <c r="F786" s="4" t="s">
        <v>698</v>
      </c>
      <c r="G786" s="4">
        <v>35</v>
      </c>
      <c r="H786" s="4">
        <v>4</v>
      </c>
      <c r="I786" s="4">
        <v>0</v>
      </c>
    </row>
    <row r="787" spans="1:9" ht="15.75" thickBot="1" x14ac:dyDescent="0.3">
      <c r="A787" s="3">
        <v>1102</v>
      </c>
      <c r="B787" s="3" t="str">
        <f>"20188923I"</f>
        <v>20188923I</v>
      </c>
      <c r="C787" s="5" t="s">
        <v>807</v>
      </c>
      <c r="D787" s="4" t="s">
        <v>11</v>
      </c>
      <c r="E787" s="4" t="str">
        <f>"AXTC"</f>
        <v>AXTC</v>
      </c>
      <c r="F787" s="4" t="s">
        <v>698</v>
      </c>
      <c r="G787" s="4">
        <v>4</v>
      </c>
      <c r="H787" s="4">
        <v>6</v>
      </c>
      <c r="I787" s="4">
        <v>0</v>
      </c>
    </row>
    <row r="788" spans="1:9" ht="15.75" thickBot="1" x14ac:dyDescent="0.3">
      <c r="A788" s="3">
        <v>1109</v>
      </c>
      <c r="B788" s="3" t="str">
        <f>"20138923E"</f>
        <v>20138923E</v>
      </c>
      <c r="C788" s="5" t="s">
        <v>808</v>
      </c>
      <c r="D788" s="4" t="s">
        <v>11</v>
      </c>
      <c r="E788" s="4" t="str">
        <f>"AXTC"</f>
        <v>AXTC</v>
      </c>
      <c r="F788" s="4" t="s">
        <v>698</v>
      </c>
      <c r="G788" s="4">
        <v>3</v>
      </c>
      <c r="H788" s="4">
        <v>0</v>
      </c>
      <c r="I788" s="4">
        <v>14</v>
      </c>
    </row>
    <row r="789" spans="1:9" ht="15.75" thickBot="1" x14ac:dyDescent="0.3">
      <c r="A789" s="3">
        <v>1118</v>
      </c>
      <c r="B789" s="3" t="str">
        <f>"20208977A"</f>
        <v>20208977A</v>
      </c>
      <c r="C789" s="5" t="s">
        <v>809</v>
      </c>
      <c r="D789" s="4" t="s">
        <v>11</v>
      </c>
      <c r="E789" s="4" t="str">
        <f>"AXTP"</f>
        <v>AXTP</v>
      </c>
      <c r="F789" s="4" t="s">
        <v>698</v>
      </c>
      <c r="G789" s="4">
        <v>4</v>
      </c>
      <c r="H789" s="4">
        <v>6</v>
      </c>
      <c r="I789" s="4">
        <v>0</v>
      </c>
    </row>
    <row r="790" spans="1:9" ht="15.75" thickBot="1" x14ac:dyDescent="0.3">
      <c r="A790" s="3">
        <v>1122</v>
      </c>
      <c r="B790" s="3" t="str">
        <f>"19808961E"</f>
        <v>19808961E</v>
      </c>
      <c r="C790" s="5" t="s">
        <v>810</v>
      </c>
      <c r="D790" s="4" t="s">
        <v>11</v>
      </c>
      <c r="E790" s="4" t="str">
        <f>"PRTC"</f>
        <v>PRTC</v>
      </c>
      <c r="F790" s="4" t="s">
        <v>698</v>
      </c>
      <c r="G790" s="4">
        <v>28</v>
      </c>
      <c r="H790" s="4">
        <v>9</v>
      </c>
      <c r="I790" s="4">
        <v>28</v>
      </c>
    </row>
    <row r="791" spans="1:9" ht="15.75" thickBot="1" x14ac:dyDescent="0.3">
      <c r="A791" s="3">
        <v>9</v>
      </c>
      <c r="B791" s="3" t="str">
        <f>"20008005F"</f>
        <v>20008005F</v>
      </c>
      <c r="C791" s="5" t="s">
        <v>811</v>
      </c>
      <c r="D791" s="4" t="s">
        <v>11</v>
      </c>
      <c r="E791" s="4" t="str">
        <f>"AXTC"</f>
        <v>AXTC</v>
      </c>
      <c r="F791" s="4" t="s">
        <v>812</v>
      </c>
      <c r="G791" s="4">
        <v>14</v>
      </c>
      <c r="H791" s="4">
        <v>1</v>
      </c>
      <c r="I791" s="4">
        <v>0</v>
      </c>
    </row>
    <row r="792" spans="1:9" ht="15.75" thickBot="1" x14ac:dyDescent="0.3">
      <c r="A792" s="3">
        <v>12</v>
      </c>
      <c r="B792" s="3" t="str">
        <f>"20178001A"</f>
        <v>20178001A</v>
      </c>
      <c r="C792" s="5" t="s">
        <v>813</v>
      </c>
      <c r="D792" s="4" t="s">
        <v>11</v>
      </c>
      <c r="E792" s="4" t="str">
        <f>"AXTP"</f>
        <v>AXTP</v>
      </c>
      <c r="F792" s="4" t="s">
        <v>812</v>
      </c>
      <c r="G792" s="4">
        <v>4</v>
      </c>
      <c r="H792" s="4">
        <v>6</v>
      </c>
      <c r="I792" s="4">
        <v>0</v>
      </c>
    </row>
    <row r="793" spans="1:9" ht="15.75" thickBot="1" x14ac:dyDescent="0.3">
      <c r="A793" s="3">
        <v>48</v>
      </c>
      <c r="B793" s="3" t="str">
        <f>"19798004C"</f>
        <v>19798004C</v>
      </c>
      <c r="C793" s="5" t="s">
        <v>814</v>
      </c>
      <c r="D793" s="4" t="s">
        <v>11</v>
      </c>
      <c r="E793" s="4" t="str">
        <f>"PRTC"</f>
        <v>PRTC</v>
      </c>
      <c r="F793" s="4" t="s">
        <v>812</v>
      </c>
      <c r="G793" s="4">
        <v>27</v>
      </c>
      <c r="H793" s="4">
        <v>3</v>
      </c>
      <c r="I793" s="4">
        <v>14</v>
      </c>
    </row>
    <row r="794" spans="1:9" ht="15.75" thickBot="1" x14ac:dyDescent="0.3">
      <c r="A794" s="3">
        <v>67</v>
      </c>
      <c r="B794" s="3" t="str">
        <f>"19978006D"</f>
        <v>19978006D</v>
      </c>
      <c r="C794" s="5" t="s">
        <v>815</v>
      </c>
      <c r="D794" s="4" t="s">
        <v>11</v>
      </c>
      <c r="E794" s="4" t="str">
        <f>"AXTP"</f>
        <v>AXTP</v>
      </c>
      <c r="F794" s="4" t="s">
        <v>812</v>
      </c>
      <c r="G794" s="4">
        <v>13</v>
      </c>
      <c r="H794" s="4">
        <v>7</v>
      </c>
      <c r="I794" s="4">
        <v>0</v>
      </c>
    </row>
    <row r="795" spans="1:9" ht="15.75" thickBot="1" x14ac:dyDescent="0.3">
      <c r="A795" s="3">
        <v>109</v>
      </c>
      <c r="B795" s="3" t="str">
        <f>"19918063A"</f>
        <v>19918063A</v>
      </c>
      <c r="C795" s="5" t="s">
        <v>816</v>
      </c>
      <c r="D795" s="4" t="s">
        <v>11</v>
      </c>
      <c r="E795" s="4" t="str">
        <f>"AXTC"</f>
        <v>AXTC</v>
      </c>
      <c r="F795" s="4" t="s">
        <v>812</v>
      </c>
      <c r="G795" s="4">
        <v>14</v>
      </c>
      <c r="H795" s="4">
        <v>1</v>
      </c>
      <c r="I795" s="4">
        <v>0</v>
      </c>
    </row>
    <row r="796" spans="1:9" ht="15.75" thickBot="1" x14ac:dyDescent="0.3">
      <c r="A796" s="3">
        <v>119</v>
      </c>
      <c r="B796" s="3" t="str">
        <f>"20158062E"</f>
        <v>20158062E</v>
      </c>
      <c r="C796" s="5" t="s">
        <v>817</v>
      </c>
      <c r="D796" s="4" t="s">
        <v>11</v>
      </c>
      <c r="E796" s="4" t="str">
        <f>"AXTP"</f>
        <v>AXTP</v>
      </c>
      <c r="F796" s="4" t="s">
        <v>812</v>
      </c>
      <c r="G796" s="4">
        <v>4</v>
      </c>
      <c r="H796" s="4">
        <v>6</v>
      </c>
      <c r="I796" s="4">
        <v>0</v>
      </c>
    </row>
    <row r="797" spans="1:9" ht="15.75" thickBot="1" x14ac:dyDescent="0.3">
      <c r="A797" s="3">
        <v>122</v>
      </c>
      <c r="B797" s="3" t="str">
        <f>"19798066I"</f>
        <v>19798066I</v>
      </c>
      <c r="C797" s="5" t="s">
        <v>818</v>
      </c>
      <c r="D797" s="4" t="s">
        <v>11</v>
      </c>
      <c r="E797" s="4" t="str">
        <f>"AXTP"</f>
        <v>AXTP</v>
      </c>
      <c r="F797" s="4" t="s">
        <v>812</v>
      </c>
      <c r="G797" s="4">
        <v>4</v>
      </c>
      <c r="H797" s="4">
        <v>6</v>
      </c>
      <c r="I797" s="4">
        <v>0</v>
      </c>
    </row>
    <row r="798" spans="1:9" ht="15.75" thickBot="1" x14ac:dyDescent="0.3">
      <c r="A798" s="3">
        <v>132</v>
      </c>
      <c r="B798" s="3" t="str">
        <f>"19978064D"</f>
        <v>19978064D</v>
      </c>
      <c r="C798" s="5" t="s">
        <v>819</v>
      </c>
      <c r="D798" s="4" t="s">
        <v>11</v>
      </c>
      <c r="E798" s="4" t="str">
        <f>"AXTC"</f>
        <v>AXTC</v>
      </c>
      <c r="F798" s="4" t="s">
        <v>812</v>
      </c>
      <c r="G798" s="4">
        <v>13</v>
      </c>
      <c r="H798" s="4">
        <v>7</v>
      </c>
      <c r="I798" s="4">
        <v>0</v>
      </c>
    </row>
    <row r="799" spans="1:9" ht="15.75" thickBot="1" x14ac:dyDescent="0.3">
      <c r="A799" s="3">
        <v>162</v>
      </c>
      <c r="B799" s="3" t="str">
        <f>"20208501G"</f>
        <v>20208501G</v>
      </c>
      <c r="C799" s="5" t="s">
        <v>820</v>
      </c>
      <c r="D799" s="4" t="s">
        <v>11</v>
      </c>
      <c r="E799" s="4" t="str">
        <f>"AXTP"</f>
        <v>AXTP</v>
      </c>
      <c r="F799" s="4" t="s">
        <v>812</v>
      </c>
      <c r="G799" s="4">
        <v>4</v>
      </c>
      <c r="H799" s="4">
        <v>6</v>
      </c>
      <c r="I799" s="4">
        <v>0</v>
      </c>
    </row>
    <row r="800" spans="1:9" ht="15.75" thickBot="1" x14ac:dyDescent="0.3">
      <c r="A800" s="3">
        <v>169</v>
      </c>
      <c r="B800" s="3" t="str">
        <f>"19938127E"</f>
        <v>19938127E</v>
      </c>
      <c r="C800" s="5" t="s">
        <v>821</v>
      </c>
      <c r="D800" s="4" t="s">
        <v>11</v>
      </c>
      <c r="E800" s="4" t="str">
        <f>"AXTC"</f>
        <v>AXTC</v>
      </c>
      <c r="F800" s="4" t="s">
        <v>812</v>
      </c>
      <c r="G800" s="4">
        <v>14</v>
      </c>
      <c r="H800" s="4">
        <v>1</v>
      </c>
      <c r="I800" s="4">
        <v>0</v>
      </c>
    </row>
    <row r="801" spans="1:9" ht="15.75" thickBot="1" x14ac:dyDescent="0.3">
      <c r="A801" s="3">
        <v>171</v>
      </c>
      <c r="B801" s="3" t="str">
        <f>"19898136I"</f>
        <v>19898136I</v>
      </c>
      <c r="C801" s="5" t="s">
        <v>822</v>
      </c>
      <c r="D801" s="4" t="s">
        <v>11</v>
      </c>
      <c r="E801" s="4" t="str">
        <f>"ASTC"</f>
        <v>ASTC</v>
      </c>
      <c r="F801" s="4" t="s">
        <v>812</v>
      </c>
      <c r="G801" s="4">
        <v>27</v>
      </c>
      <c r="H801" s="4">
        <v>3</v>
      </c>
      <c r="I801" s="4">
        <v>14</v>
      </c>
    </row>
    <row r="802" spans="1:9" ht="15.75" thickBot="1" x14ac:dyDescent="0.3">
      <c r="A802" s="3">
        <v>174</v>
      </c>
      <c r="B802" s="3" t="str">
        <f>"19868134H"</f>
        <v>19868134H</v>
      </c>
      <c r="C802" s="5" t="s">
        <v>823</v>
      </c>
      <c r="D802" s="4" t="s">
        <v>11</v>
      </c>
      <c r="E802" s="4" t="str">
        <f>"ASTC"</f>
        <v>ASTC</v>
      </c>
      <c r="F802" s="4" t="s">
        <v>812</v>
      </c>
      <c r="G802" s="4">
        <v>27</v>
      </c>
      <c r="H802" s="4">
        <v>3</v>
      </c>
      <c r="I802" s="4">
        <v>14</v>
      </c>
    </row>
    <row r="803" spans="1:9" ht="15.75" thickBot="1" x14ac:dyDescent="0.3">
      <c r="A803" s="3">
        <v>188</v>
      </c>
      <c r="B803" s="3" t="str">
        <f>"19818125E"</f>
        <v>19818125E</v>
      </c>
      <c r="C803" s="5" t="s">
        <v>824</v>
      </c>
      <c r="D803" s="4" t="s">
        <v>11</v>
      </c>
      <c r="E803" s="4" t="str">
        <f>"AXTC"</f>
        <v>AXTC</v>
      </c>
      <c r="F803" s="4" t="s">
        <v>812</v>
      </c>
      <c r="G803" s="4">
        <v>4</v>
      </c>
      <c r="H803" s="4">
        <v>6</v>
      </c>
      <c r="I803" s="4">
        <v>0</v>
      </c>
    </row>
    <row r="804" spans="1:9" ht="15.75" thickBot="1" x14ac:dyDescent="0.3">
      <c r="A804" s="3">
        <v>251</v>
      </c>
      <c r="B804" s="3" t="str">
        <f>"19788122C"</f>
        <v>19788122C</v>
      </c>
      <c r="C804" s="5" t="s">
        <v>825</v>
      </c>
      <c r="D804" s="4" t="s">
        <v>11</v>
      </c>
      <c r="E804" s="4" t="str">
        <f>"PRTC"</f>
        <v>PRTC</v>
      </c>
      <c r="F804" s="4" t="s">
        <v>812</v>
      </c>
      <c r="G804" s="4">
        <v>35</v>
      </c>
      <c r="H804" s="4">
        <v>11</v>
      </c>
      <c r="I804" s="4">
        <v>0</v>
      </c>
    </row>
    <row r="805" spans="1:9" ht="15.75" thickBot="1" x14ac:dyDescent="0.3">
      <c r="A805" s="3">
        <v>290</v>
      </c>
      <c r="B805" s="3" t="str">
        <f>"19908214G"</f>
        <v>19908214G</v>
      </c>
      <c r="C805" s="5" t="s">
        <v>826</v>
      </c>
      <c r="D805" s="4" t="s">
        <v>11</v>
      </c>
      <c r="E805" s="4" t="str">
        <f>"ASTP"</f>
        <v>ASTP</v>
      </c>
      <c r="F805" s="4" t="s">
        <v>812</v>
      </c>
      <c r="G805" s="4">
        <v>27</v>
      </c>
      <c r="H805" s="4">
        <v>3</v>
      </c>
      <c r="I805" s="4">
        <v>14</v>
      </c>
    </row>
    <row r="806" spans="1:9" ht="15.75" thickBot="1" x14ac:dyDescent="0.3">
      <c r="A806" s="3">
        <v>292</v>
      </c>
      <c r="B806" s="3" t="str">
        <f>"19778216E"</f>
        <v>19778216E</v>
      </c>
      <c r="C806" s="5" t="s">
        <v>827</v>
      </c>
      <c r="D806" s="4" t="s">
        <v>11</v>
      </c>
      <c r="E806" s="4" t="str">
        <f>"ASTC"</f>
        <v>ASTC</v>
      </c>
      <c r="F806" s="4" t="s">
        <v>812</v>
      </c>
      <c r="G806" s="4">
        <v>7</v>
      </c>
      <c r="H806" s="4">
        <v>3</v>
      </c>
      <c r="I806" s="4">
        <v>11</v>
      </c>
    </row>
    <row r="807" spans="1:9" ht="15.75" thickBot="1" x14ac:dyDescent="0.3">
      <c r="A807" s="3">
        <v>304</v>
      </c>
      <c r="B807" s="3" t="str">
        <f>"19798214H"</f>
        <v>19798214H</v>
      </c>
      <c r="C807" s="5" t="s">
        <v>828</v>
      </c>
      <c r="D807" s="4" t="s">
        <v>11</v>
      </c>
      <c r="E807" s="4" t="str">
        <f>"PRTC"</f>
        <v>PRTC</v>
      </c>
      <c r="F807" s="4" t="s">
        <v>812</v>
      </c>
      <c r="G807" s="4">
        <v>34</v>
      </c>
      <c r="H807" s="4">
        <v>6</v>
      </c>
      <c r="I807" s="4">
        <v>0</v>
      </c>
    </row>
    <row r="808" spans="1:9" ht="15.75" thickBot="1" x14ac:dyDescent="0.3">
      <c r="A808" s="3">
        <v>342</v>
      </c>
      <c r="B808" s="3" t="str">
        <f>"19888252F"</f>
        <v>19888252F</v>
      </c>
      <c r="C808" s="5" t="s">
        <v>829</v>
      </c>
      <c r="D808" s="4" t="s">
        <v>11</v>
      </c>
      <c r="E808" s="4" t="str">
        <f>"ASTP"</f>
        <v>ASTP</v>
      </c>
      <c r="F808" s="4" t="s">
        <v>812</v>
      </c>
      <c r="G808" s="4">
        <v>27</v>
      </c>
      <c r="H808" s="4">
        <v>3</v>
      </c>
      <c r="I808" s="4">
        <v>14</v>
      </c>
    </row>
    <row r="809" spans="1:9" ht="15.75" thickBot="1" x14ac:dyDescent="0.3">
      <c r="A809" s="3">
        <v>373</v>
      </c>
      <c r="B809" s="3" t="str">
        <f>"19998276G"</f>
        <v>19998276G</v>
      </c>
      <c r="C809" s="5" t="s">
        <v>830</v>
      </c>
      <c r="D809" s="4" t="s">
        <v>11</v>
      </c>
      <c r="E809" s="4" t="str">
        <f>"AXTC"</f>
        <v>AXTC</v>
      </c>
      <c r="F809" s="4" t="s">
        <v>812</v>
      </c>
      <c r="G809" s="4">
        <v>14</v>
      </c>
      <c r="H809" s="4">
        <v>1</v>
      </c>
      <c r="I809" s="4">
        <v>0</v>
      </c>
    </row>
    <row r="810" spans="1:9" ht="15.75" thickBot="1" x14ac:dyDescent="0.3">
      <c r="A810" s="3">
        <v>375</v>
      </c>
      <c r="B810" s="3" t="str">
        <f>"19838271G"</f>
        <v>19838271G</v>
      </c>
      <c r="C810" s="5" t="s">
        <v>831</v>
      </c>
      <c r="D810" s="4" t="s">
        <v>11</v>
      </c>
      <c r="E810" s="4" t="str">
        <f>"PRTC"</f>
        <v>PRTC</v>
      </c>
      <c r="F810" s="4" t="s">
        <v>812</v>
      </c>
      <c r="G810" s="4">
        <v>13</v>
      </c>
      <c r="H810" s="4">
        <v>2</v>
      </c>
      <c r="I810" s="4">
        <v>14</v>
      </c>
    </row>
    <row r="811" spans="1:9" ht="15.75" thickBot="1" x14ac:dyDescent="0.3">
      <c r="A811" s="3">
        <v>379</v>
      </c>
      <c r="B811" s="3" t="str">
        <f>"20188303K"</f>
        <v>20188303K</v>
      </c>
      <c r="C811" s="5" t="s">
        <v>832</v>
      </c>
      <c r="D811" s="4" t="s">
        <v>11</v>
      </c>
      <c r="E811" s="4" t="str">
        <f>"AXTC"</f>
        <v>AXTC</v>
      </c>
      <c r="F811" s="4" t="s">
        <v>812</v>
      </c>
      <c r="G811" s="4">
        <v>4</v>
      </c>
      <c r="H811" s="4">
        <v>6</v>
      </c>
      <c r="I811" s="4">
        <v>0</v>
      </c>
    </row>
    <row r="812" spans="1:9" ht="15.75" thickBot="1" x14ac:dyDescent="0.3">
      <c r="A812" s="3">
        <v>388</v>
      </c>
      <c r="B812" s="3" t="str">
        <f>"19818312J"</f>
        <v>19818312J</v>
      </c>
      <c r="C812" s="5" t="s">
        <v>833</v>
      </c>
      <c r="D812" s="4" t="s">
        <v>11</v>
      </c>
      <c r="E812" s="4" t="str">
        <f>"PRTC"</f>
        <v>PRTC</v>
      </c>
      <c r="F812" s="4" t="s">
        <v>812</v>
      </c>
      <c r="G812" s="4">
        <v>27</v>
      </c>
      <c r="H812" s="4">
        <v>3</v>
      </c>
      <c r="I812" s="4">
        <v>14</v>
      </c>
    </row>
    <row r="813" spans="1:9" ht="15.75" thickBot="1" x14ac:dyDescent="0.3">
      <c r="A813" s="3">
        <v>432</v>
      </c>
      <c r="B813" s="3" t="str">
        <f>"19828355C"</f>
        <v>19828355C</v>
      </c>
      <c r="C813" s="5" t="s">
        <v>834</v>
      </c>
      <c r="D813" s="4" t="s">
        <v>11</v>
      </c>
      <c r="E813" s="4" t="str">
        <f>"ASTC"</f>
        <v>ASTC</v>
      </c>
      <c r="F813" s="4" t="s">
        <v>812</v>
      </c>
      <c r="G813" s="4">
        <v>26</v>
      </c>
      <c r="H813" s="4">
        <v>7</v>
      </c>
      <c r="I813" s="4">
        <v>14</v>
      </c>
    </row>
    <row r="814" spans="1:9" ht="15.75" thickBot="1" x14ac:dyDescent="0.3">
      <c r="A814" s="3">
        <v>433</v>
      </c>
      <c r="B814" s="3" t="str">
        <f>"19968352G"</f>
        <v>19968352G</v>
      </c>
      <c r="C814" s="5" t="s">
        <v>835</v>
      </c>
      <c r="D814" s="4" t="s">
        <v>11</v>
      </c>
      <c r="E814" s="4" t="str">
        <f>"AXTC"</f>
        <v>AXTC</v>
      </c>
      <c r="F814" s="4" t="s">
        <v>812</v>
      </c>
      <c r="G814" s="4">
        <v>14</v>
      </c>
      <c r="H814" s="4">
        <v>1</v>
      </c>
      <c r="I814" s="4">
        <v>0</v>
      </c>
    </row>
    <row r="815" spans="1:9" ht="15.75" thickBot="1" x14ac:dyDescent="0.3">
      <c r="A815" s="3">
        <v>449</v>
      </c>
      <c r="B815" s="3" t="str">
        <f>"19958352D"</f>
        <v>19958352D</v>
      </c>
      <c r="C815" s="5" t="s">
        <v>836</v>
      </c>
      <c r="D815" s="4" t="s">
        <v>11</v>
      </c>
      <c r="E815" s="4" t="str">
        <f>"PRTC"</f>
        <v>PRTC</v>
      </c>
      <c r="F815" s="4" t="s">
        <v>812</v>
      </c>
      <c r="G815" s="4">
        <v>13</v>
      </c>
      <c r="H815" s="4">
        <v>2</v>
      </c>
      <c r="I815" s="4">
        <v>14</v>
      </c>
    </row>
    <row r="816" spans="1:9" ht="15.75" thickBot="1" x14ac:dyDescent="0.3">
      <c r="A816" s="3">
        <v>468</v>
      </c>
      <c r="B816" s="3" t="str">
        <f>"19978354B"</f>
        <v>19978354B</v>
      </c>
      <c r="C816" s="5" t="s">
        <v>837</v>
      </c>
      <c r="D816" s="4" t="s">
        <v>11</v>
      </c>
      <c r="E816" s="4" t="str">
        <f>"ASTC"</f>
        <v>ASTC</v>
      </c>
      <c r="F816" s="4" t="s">
        <v>812</v>
      </c>
      <c r="G816" s="4">
        <v>6</v>
      </c>
      <c r="H816" s="4">
        <v>4</v>
      </c>
      <c r="I816" s="4">
        <v>12</v>
      </c>
    </row>
    <row r="817" spans="1:9" ht="15.75" thickBot="1" x14ac:dyDescent="0.3">
      <c r="A817" s="3">
        <v>551</v>
      </c>
      <c r="B817" s="3" t="str">
        <f>"19978506G"</f>
        <v>19978506G</v>
      </c>
      <c r="C817" s="5" t="s">
        <v>838</v>
      </c>
      <c r="D817" s="4" t="s">
        <v>11</v>
      </c>
      <c r="E817" s="4" t="str">
        <f>"AXTP"</f>
        <v>AXTP</v>
      </c>
      <c r="F817" s="4" t="s">
        <v>812</v>
      </c>
      <c r="G817" s="4">
        <v>4</v>
      </c>
      <c r="H817" s="4">
        <v>6</v>
      </c>
      <c r="I817" s="4">
        <v>0</v>
      </c>
    </row>
    <row r="818" spans="1:9" ht="15.75" thickBot="1" x14ac:dyDescent="0.3">
      <c r="A818" s="3">
        <v>568</v>
      </c>
      <c r="B818" s="3" t="str">
        <f>"19748526F"</f>
        <v>19748526F</v>
      </c>
      <c r="C818" s="5" t="s">
        <v>839</v>
      </c>
      <c r="D818" s="4" t="s">
        <v>11</v>
      </c>
      <c r="E818" s="4" t="str">
        <f>"PRTC"</f>
        <v>PRTC</v>
      </c>
      <c r="F818" s="4" t="s">
        <v>812</v>
      </c>
      <c r="G818" s="4">
        <v>35</v>
      </c>
      <c r="H818" s="4">
        <v>8</v>
      </c>
      <c r="I818" s="4">
        <v>0</v>
      </c>
    </row>
    <row r="819" spans="1:9" ht="15.75" thickBot="1" x14ac:dyDescent="0.3">
      <c r="A819" s="3">
        <v>570</v>
      </c>
      <c r="B819" s="3" t="str">
        <f>"19858507F"</f>
        <v>19858507F</v>
      </c>
      <c r="C819" s="5" t="s">
        <v>840</v>
      </c>
      <c r="D819" s="4" t="s">
        <v>11</v>
      </c>
      <c r="E819" s="4" t="str">
        <f>"AXTC"</f>
        <v>AXTC</v>
      </c>
      <c r="F819" s="4" t="s">
        <v>812</v>
      </c>
      <c r="G819" s="4">
        <v>16</v>
      </c>
      <c r="H819" s="4">
        <v>6</v>
      </c>
      <c r="I819" s="4">
        <v>0</v>
      </c>
    </row>
    <row r="820" spans="1:9" ht="15.75" thickBot="1" x14ac:dyDescent="0.3">
      <c r="A820" s="3">
        <v>628</v>
      </c>
      <c r="B820" s="3" t="str">
        <f>"19988517A"</f>
        <v>19988517A</v>
      </c>
      <c r="C820" s="5" t="s">
        <v>841</v>
      </c>
      <c r="D820" s="4" t="s">
        <v>11</v>
      </c>
      <c r="E820" s="4" t="str">
        <f>"ASTC"</f>
        <v>ASTC</v>
      </c>
      <c r="F820" s="4" t="s">
        <v>812</v>
      </c>
      <c r="G820" s="4">
        <v>7</v>
      </c>
      <c r="H820" s="4">
        <v>3</v>
      </c>
      <c r="I820" s="4">
        <v>11</v>
      </c>
    </row>
    <row r="821" spans="1:9" ht="15.75" thickBot="1" x14ac:dyDescent="0.3">
      <c r="A821" s="3">
        <v>638</v>
      </c>
      <c r="B821" s="3" t="str">
        <f>"20208500K"</f>
        <v>20208500K</v>
      </c>
      <c r="C821" s="5" t="s">
        <v>842</v>
      </c>
      <c r="D821" s="4" t="s">
        <v>11</v>
      </c>
      <c r="E821" s="4" t="str">
        <f>"AXTP"</f>
        <v>AXTP</v>
      </c>
      <c r="F821" s="4" t="s">
        <v>812</v>
      </c>
      <c r="G821" s="4">
        <v>4</v>
      </c>
      <c r="H821" s="4">
        <v>6</v>
      </c>
      <c r="I821" s="4">
        <v>0</v>
      </c>
    </row>
    <row r="822" spans="1:9" ht="15.75" thickBot="1" x14ac:dyDescent="0.3">
      <c r="A822" s="3">
        <v>647</v>
      </c>
      <c r="B822" s="3" t="str">
        <f>"19988516E"</f>
        <v>19988516E</v>
      </c>
      <c r="C822" s="5" t="s">
        <v>843</v>
      </c>
      <c r="D822" s="4" t="s">
        <v>11</v>
      </c>
      <c r="E822" s="4" t="str">
        <f>"AXTC"</f>
        <v>AXTC</v>
      </c>
      <c r="F822" s="4" t="s">
        <v>812</v>
      </c>
      <c r="G822" s="4">
        <v>23</v>
      </c>
      <c r="H822" s="4">
        <v>6</v>
      </c>
      <c r="I822" s="4">
        <v>20</v>
      </c>
    </row>
    <row r="823" spans="1:9" ht="15.75" thickBot="1" x14ac:dyDescent="0.3">
      <c r="A823" s="3">
        <v>655</v>
      </c>
      <c r="B823" s="3" t="str">
        <f>"20138506E"</f>
        <v>20138506E</v>
      </c>
      <c r="C823" s="5" t="s">
        <v>844</v>
      </c>
      <c r="D823" s="4" t="s">
        <v>11</v>
      </c>
      <c r="E823" s="4" t="str">
        <f>"AXTP"</f>
        <v>AXTP</v>
      </c>
      <c r="F823" s="4" t="s">
        <v>812</v>
      </c>
      <c r="G823" s="4">
        <v>4</v>
      </c>
      <c r="H823" s="4">
        <v>6</v>
      </c>
      <c r="I823" s="4">
        <v>0</v>
      </c>
    </row>
    <row r="824" spans="1:9" ht="15.75" thickBot="1" x14ac:dyDescent="0.3">
      <c r="A824" s="3">
        <v>673</v>
      </c>
      <c r="B824" s="3" t="str">
        <f>"19868565I"</f>
        <v>19868565I</v>
      </c>
      <c r="C824" s="5" t="s">
        <v>845</v>
      </c>
      <c r="D824" s="4" t="s">
        <v>11</v>
      </c>
      <c r="E824" s="4" t="str">
        <f>"ASTC"</f>
        <v>ASTC</v>
      </c>
      <c r="F824" s="4" t="s">
        <v>812</v>
      </c>
      <c r="G824" s="4">
        <v>32</v>
      </c>
      <c r="H824" s="4">
        <v>2</v>
      </c>
      <c r="I824" s="4">
        <v>4</v>
      </c>
    </row>
    <row r="825" spans="1:9" ht="15.75" thickBot="1" x14ac:dyDescent="0.3">
      <c r="A825" s="3">
        <v>675</v>
      </c>
      <c r="B825" s="3" t="str">
        <f>"20178561G"</f>
        <v>20178561G</v>
      </c>
      <c r="C825" s="5" t="s">
        <v>846</v>
      </c>
      <c r="D825" s="4" t="s">
        <v>11</v>
      </c>
      <c r="E825" s="4" t="str">
        <f>"AXTC"</f>
        <v>AXTC</v>
      </c>
      <c r="F825" s="4" t="s">
        <v>812</v>
      </c>
      <c r="G825" s="4">
        <v>4</v>
      </c>
      <c r="H825" s="4">
        <v>6</v>
      </c>
      <c r="I825" s="4">
        <v>0</v>
      </c>
    </row>
    <row r="826" spans="1:9" ht="15.75" thickBot="1" x14ac:dyDescent="0.3">
      <c r="A826" s="3">
        <v>683</v>
      </c>
      <c r="B826" s="3" t="str">
        <f>"19988562G"</f>
        <v>19988562G</v>
      </c>
      <c r="C826" s="5" t="s">
        <v>847</v>
      </c>
      <c r="D826" s="4" t="s">
        <v>11</v>
      </c>
      <c r="E826" s="4" t="str">
        <f>"AXTP"</f>
        <v>AXTP</v>
      </c>
      <c r="F826" s="4" t="s">
        <v>812</v>
      </c>
      <c r="G826" s="4">
        <v>13</v>
      </c>
      <c r="H826" s="4">
        <v>7</v>
      </c>
      <c r="I826" s="4">
        <v>0</v>
      </c>
    </row>
    <row r="827" spans="1:9" ht="15.75" thickBot="1" x14ac:dyDescent="0.3">
      <c r="A827" s="3">
        <v>700</v>
      </c>
      <c r="B827" s="3" t="str">
        <f>"19998582K"</f>
        <v>19998582K</v>
      </c>
      <c r="C827" s="5" t="s">
        <v>848</v>
      </c>
      <c r="D827" s="4" t="s">
        <v>11</v>
      </c>
      <c r="E827" s="4" t="str">
        <f>"AXTC"</f>
        <v>AXTC</v>
      </c>
      <c r="F827" s="4" t="s">
        <v>812</v>
      </c>
      <c r="G827" s="4">
        <v>16</v>
      </c>
      <c r="H827" s="4">
        <v>6</v>
      </c>
      <c r="I827" s="4">
        <v>0</v>
      </c>
    </row>
    <row r="828" spans="1:9" ht="15.75" thickBot="1" x14ac:dyDescent="0.3">
      <c r="A828" s="3">
        <v>715</v>
      </c>
      <c r="B828" s="3" t="str">
        <f>"19928582A"</f>
        <v>19928582A</v>
      </c>
      <c r="C828" s="5" t="s">
        <v>849</v>
      </c>
      <c r="D828" s="4" t="s">
        <v>11</v>
      </c>
      <c r="E828" s="4" t="str">
        <f>"PRTP"</f>
        <v>PRTP</v>
      </c>
      <c r="F828" s="4" t="s">
        <v>812</v>
      </c>
      <c r="G828" s="4">
        <v>13</v>
      </c>
      <c r="H828" s="4">
        <v>11</v>
      </c>
      <c r="I828" s="4">
        <v>0</v>
      </c>
    </row>
    <row r="829" spans="1:9" ht="15.75" thickBot="1" x14ac:dyDescent="0.3">
      <c r="A829" s="3">
        <v>725</v>
      </c>
      <c r="B829" s="3" t="str">
        <f>"19938605D"</f>
        <v>19938605D</v>
      </c>
      <c r="C829" s="5" t="s">
        <v>850</v>
      </c>
      <c r="D829" s="4" t="s">
        <v>11</v>
      </c>
      <c r="E829" s="4" t="str">
        <f>"ASTP"</f>
        <v>ASTP</v>
      </c>
      <c r="F829" s="4" t="s">
        <v>812</v>
      </c>
      <c r="G829" s="4">
        <v>7</v>
      </c>
      <c r="H829" s="4">
        <v>5</v>
      </c>
      <c r="I829" s="4">
        <v>7</v>
      </c>
    </row>
    <row r="830" spans="1:9" ht="15.75" thickBot="1" x14ac:dyDescent="0.3">
      <c r="A830" s="3">
        <v>749</v>
      </c>
      <c r="B830" s="3" t="str">
        <f>"19988605H"</f>
        <v>19988605H</v>
      </c>
      <c r="C830" s="5" t="s">
        <v>851</v>
      </c>
      <c r="D830" s="4" t="s">
        <v>11</v>
      </c>
      <c r="E830" s="4" t="str">
        <f>"PRTC"</f>
        <v>PRTC</v>
      </c>
      <c r="F830" s="4" t="s">
        <v>812</v>
      </c>
      <c r="G830" s="4">
        <v>7</v>
      </c>
      <c r="H830" s="4">
        <v>5</v>
      </c>
      <c r="I830" s="4">
        <v>11</v>
      </c>
    </row>
    <row r="831" spans="1:9" ht="15.75" thickBot="1" x14ac:dyDescent="0.3">
      <c r="A831" s="3">
        <v>770</v>
      </c>
      <c r="B831" s="3" t="str">
        <f>"19968604F"</f>
        <v>19968604F</v>
      </c>
      <c r="C831" s="5" t="s">
        <v>852</v>
      </c>
      <c r="D831" s="4" t="s">
        <v>11</v>
      </c>
      <c r="E831" s="4" t="str">
        <f>"ASTC"</f>
        <v>ASTC</v>
      </c>
      <c r="F831" s="4" t="s">
        <v>812</v>
      </c>
      <c r="G831" s="4">
        <v>13</v>
      </c>
      <c r="H831" s="4">
        <v>2</v>
      </c>
      <c r="I831" s="4">
        <v>14</v>
      </c>
    </row>
    <row r="832" spans="1:9" ht="15.75" thickBot="1" x14ac:dyDescent="0.3">
      <c r="A832" s="3">
        <v>774</v>
      </c>
      <c r="B832" s="3" t="str">
        <f>"20208591F"</f>
        <v>20208591F</v>
      </c>
      <c r="C832" s="5" t="s">
        <v>853</v>
      </c>
      <c r="D832" s="4" t="s">
        <v>11</v>
      </c>
      <c r="E832" s="4" t="str">
        <f>"AXTP"</f>
        <v>AXTP</v>
      </c>
      <c r="F832" s="4" t="s">
        <v>812</v>
      </c>
      <c r="G832" s="4">
        <v>4</v>
      </c>
      <c r="H832" s="4">
        <v>6</v>
      </c>
      <c r="I832" s="4">
        <v>0</v>
      </c>
    </row>
    <row r="833" spans="1:9" ht="15.75" thickBot="1" x14ac:dyDescent="0.3">
      <c r="A833" s="3">
        <v>786</v>
      </c>
      <c r="B833" s="3" t="str">
        <f>"19808612K"</f>
        <v>19808612K</v>
      </c>
      <c r="C833" s="5" t="s">
        <v>854</v>
      </c>
      <c r="D833" s="4" t="s">
        <v>11</v>
      </c>
      <c r="E833" s="4" t="str">
        <f>"PRTP"</f>
        <v>PRTP</v>
      </c>
      <c r="F833" s="4" t="s">
        <v>812</v>
      </c>
      <c r="G833" s="4">
        <v>27</v>
      </c>
      <c r="H833" s="4">
        <v>0</v>
      </c>
      <c r="I833" s="4">
        <v>15</v>
      </c>
    </row>
    <row r="834" spans="1:9" ht="15.75" thickBot="1" x14ac:dyDescent="0.3">
      <c r="A834" s="3">
        <v>804</v>
      </c>
      <c r="B834" s="3" t="str">
        <f>"19968641I"</f>
        <v>19968641I</v>
      </c>
      <c r="C834" s="5" t="s">
        <v>855</v>
      </c>
      <c r="D834" s="4" t="s">
        <v>11</v>
      </c>
      <c r="E834" s="4" t="str">
        <f>"AXTC"</f>
        <v>AXTC</v>
      </c>
      <c r="F834" s="4" t="s">
        <v>812</v>
      </c>
      <c r="G834" s="4">
        <v>14</v>
      </c>
      <c r="H834" s="4">
        <v>1</v>
      </c>
      <c r="I834" s="4">
        <v>0</v>
      </c>
    </row>
    <row r="835" spans="1:9" ht="15.75" thickBot="1" x14ac:dyDescent="0.3">
      <c r="A835" s="3">
        <v>830</v>
      </c>
      <c r="B835" s="3" t="str">
        <f>"20188664C"</f>
        <v>20188664C</v>
      </c>
      <c r="C835" s="5" t="s">
        <v>856</v>
      </c>
      <c r="D835" s="4" t="s">
        <v>11</v>
      </c>
      <c r="E835" s="4" t="str">
        <f>"AXTC"</f>
        <v>AXTC</v>
      </c>
      <c r="F835" s="4" t="s">
        <v>812</v>
      </c>
      <c r="G835" s="4">
        <v>4</v>
      </c>
      <c r="H835" s="4">
        <v>6</v>
      </c>
      <c r="I835" s="4">
        <v>0</v>
      </c>
    </row>
    <row r="836" spans="1:9" ht="15.75" thickBot="1" x14ac:dyDescent="0.3">
      <c r="A836" s="3">
        <v>855</v>
      </c>
      <c r="B836" s="3" t="str">
        <f>"19868664G"</f>
        <v>19868664G</v>
      </c>
      <c r="C836" s="5" t="s">
        <v>857</v>
      </c>
      <c r="D836" s="4" t="s">
        <v>11</v>
      </c>
      <c r="E836" s="4" t="str">
        <f>"ASTC"</f>
        <v>ASTC</v>
      </c>
      <c r="F836" s="4" t="s">
        <v>812</v>
      </c>
      <c r="G836" s="4">
        <v>23</v>
      </c>
      <c r="H836" s="4">
        <v>7</v>
      </c>
      <c r="I836" s="4">
        <v>17</v>
      </c>
    </row>
    <row r="837" spans="1:9" ht="15.75" thickBot="1" x14ac:dyDescent="0.3">
      <c r="A837" s="3">
        <v>873</v>
      </c>
      <c r="B837" s="3" t="str">
        <f>"19988663H"</f>
        <v>19988663H</v>
      </c>
      <c r="C837" s="5" t="s">
        <v>858</v>
      </c>
      <c r="D837" s="4" t="s">
        <v>11</v>
      </c>
      <c r="E837" s="4" t="str">
        <f>"AXTC"</f>
        <v>AXTC</v>
      </c>
      <c r="F837" s="4" t="s">
        <v>812</v>
      </c>
      <c r="G837" s="4">
        <v>10</v>
      </c>
      <c r="H837" s="4">
        <v>7</v>
      </c>
      <c r="I837" s="4">
        <v>0</v>
      </c>
    </row>
    <row r="838" spans="1:9" ht="15.75" thickBot="1" x14ac:dyDescent="0.3">
      <c r="A838" s="3">
        <v>896</v>
      </c>
      <c r="B838" s="3" t="str">
        <f>"20198646H"</f>
        <v>20198646H</v>
      </c>
      <c r="C838" s="5" t="s">
        <v>859</v>
      </c>
      <c r="D838" s="4" t="s">
        <v>324</v>
      </c>
      <c r="E838" s="4" t="str">
        <f>"AXTP"</f>
        <v>AXTP</v>
      </c>
      <c r="F838" s="4" t="s">
        <v>812</v>
      </c>
      <c r="G838" s="4">
        <v>4</v>
      </c>
      <c r="H838" s="4">
        <v>4</v>
      </c>
      <c r="I838" s="4">
        <v>0</v>
      </c>
    </row>
    <row r="839" spans="1:9" ht="15.75" thickBot="1" x14ac:dyDescent="0.3">
      <c r="A839" s="3">
        <v>917</v>
      </c>
      <c r="B839" s="3" t="str">
        <f>"19748713K"</f>
        <v>19748713K</v>
      </c>
      <c r="C839" s="5" t="s">
        <v>860</v>
      </c>
      <c r="D839" s="4" t="s">
        <v>11</v>
      </c>
      <c r="E839" s="4" t="str">
        <f>"PRTC"</f>
        <v>PRTC</v>
      </c>
      <c r="F839" s="4" t="s">
        <v>812</v>
      </c>
      <c r="G839" s="4">
        <v>37</v>
      </c>
      <c r="H839" s="4">
        <v>4</v>
      </c>
      <c r="I839" s="4">
        <v>0</v>
      </c>
    </row>
    <row r="840" spans="1:9" ht="15.75" thickBot="1" x14ac:dyDescent="0.3">
      <c r="A840" s="3">
        <v>934</v>
      </c>
      <c r="B840" s="3" t="str">
        <f>"19988717K"</f>
        <v>19988717K</v>
      </c>
      <c r="C840" s="5" t="s">
        <v>861</v>
      </c>
      <c r="D840" s="4" t="s">
        <v>11</v>
      </c>
      <c r="E840" s="4" t="str">
        <f>"AXTC"</f>
        <v>AXTC</v>
      </c>
      <c r="F840" s="4" t="s">
        <v>812</v>
      </c>
      <c r="G840" s="4">
        <v>23</v>
      </c>
      <c r="H840" s="4">
        <v>6</v>
      </c>
      <c r="I840" s="4">
        <v>20</v>
      </c>
    </row>
    <row r="841" spans="1:9" ht="15.75" thickBot="1" x14ac:dyDescent="0.3">
      <c r="A841" s="3">
        <v>973</v>
      </c>
      <c r="B841" s="3" t="str">
        <f>"19978717H"</f>
        <v>19978717H</v>
      </c>
      <c r="C841" s="5" t="s">
        <v>862</v>
      </c>
      <c r="D841" s="4" t="s">
        <v>11</v>
      </c>
      <c r="E841" s="4" t="str">
        <f>"AXTC"</f>
        <v>AXTC</v>
      </c>
      <c r="F841" s="4" t="s">
        <v>812</v>
      </c>
      <c r="G841" s="4">
        <v>16</v>
      </c>
      <c r="H841" s="4">
        <v>6</v>
      </c>
      <c r="I841" s="4">
        <v>0</v>
      </c>
    </row>
    <row r="842" spans="1:9" ht="15.75" thickBot="1" x14ac:dyDescent="0.3">
      <c r="A842" s="3">
        <v>999</v>
      </c>
      <c r="B842" s="3" t="str">
        <f>"19948765D"</f>
        <v>19948765D</v>
      </c>
      <c r="C842" s="5" t="s">
        <v>863</v>
      </c>
      <c r="D842" s="4" t="s">
        <v>11</v>
      </c>
      <c r="E842" s="4" t="str">
        <f>"AXTP"</f>
        <v>AXTP</v>
      </c>
      <c r="F842" s="4" t="s">
        <v>812</v>
      </c>
      <c r="G842" s="4">
        <v>14</v>
      </c>
      <c r="H842" s="4">
        <v>1</v>
      </c>
      <c r="I842" s="4">
        <v>0</v>
      </c>
    </row>
    <row r="843" spans="1:9" ht="15.75" thickBot="1" x14ac:dyDescent="0.3">
      <c r="A843" s="3">
        <v>1011</v>
      </c>
      <c r="B843" s="3" t="str">
        <f>"20018763K"</f>
        <v>20018763K</v>
      </c>
      <c r="C843" s="5" t="s">
        <v>864</v>
      </c>
      <c r="D843" s="4" t="s">
        <v>11</v>
      </c>
      <c r="E843" s="4" t="str">
        <f>"ASTC"</f>
        <v>ASTC</v>
      </c>
      <c r="F843" s="4" t="s">
        <v>812</v>
      </c>
      <c r="G843" s="4">
        <v>7</v>
      </c>
      <c r="H843" s="4">
        <v>5</v>
      </c>
      <c r="I843" s="4">
        <v>7</v>
      </c>
    </row>
    <row r="844" spans="1:9" ht="15.75" thickBot="1" x14ac:dyDescent="0.3">
      <c r="A844" s="3">
        <v>1013</v>
      </c>
      <c r="B844" s="3" t="str">
        <f>"20008761E"</f>
        <v>20008761E</v>
      </c>
      <c r="C844" s="5" t="s">
        <v>865</v>
      </c>
      <c r="D844" s="4" t="s">
        <v>11</v>
      </c>
      <c r="E844" s="4" t="str">
        <f>"AXTP"</f>
        <v>AXTP</v>
      </c>
      <c r="F844" s="4" t="s">
        <v>812</v>
      </c>
      <c r="G844" s="4">
        <v>16</v>
      </c>
      <c r="H844" s="4">
        <v>6</v>
      </c>
      <c r="I844" s="4">
        <v>0</v>
      </c>
    </row>
    <row r="845" spans="1:9" ht="15.75" thickBot="1" x14ac:dyDescent="0.3">
      <c r="A845" s="3">
        <v>1068</v>
      </c>
      <c r="B845" s="3" t="str">
        <f>"20028822J"</f>
        <v>20028822J</v>
      </c>
      <c r="C845" s="5" t="s">
        <v>866</v>
      </c>
      <c r="D845" s="4" t="s">
        <v>11</v>
      </c>
      <c r="E845" s="4" t="str">
        <f>"AXTP"</f>
        <v>AXTP</v>
      </c>
      <c r="F845" s="4" t="s">
        <v>812</v>
      </c>
      <c r="G845" s="4">
        <v>14</v>
      </c>
      <c r="H845" s="4">
        <v>1</v>
      </c>
      <c r="I845" s="4">
        <v>0</v>
      </c>
    </row>
    <row r="846" spans="1:9" ht="15.75" thickBot="1" x14ac:dyDescent="0.3">
      <c r="A846" s="3">
        <v>1069</v>
      </c>
      <c r="B846" s="3" t="str">
        <f>"19928822B"</f>
        <v>19928822B</v>
      </c>
      <c r="C846" s="5" t="s">
        <v>867</v>
      </c>
      <c r="D846" s="4" t="s">
        <v>11</v>
      </c>
      <c r="E846" s="4" t="str">
        <f>"PRTC"</f>
        <v>PRTC</v>
      </c>
      <c r="F846" s="4" t="s">
        <v>812</v>
      </c>
      <c r="G846" s="4">
        <v>14</v>
      </c>
      <c r="H846" s="4">
        <v>1</v>
      </c>
      <c r="I846" s="4">
        <v>0</v>
      </c>
    </row>
    <row r="847" spans="1:9" ht="15.75" thickBot="1" x14ac:dyDescent="0.3">
      <c r="A847" s="3">
        <v>1092</v>
      </c>
      <c r="B847" s="3" t="str">
        <f>"19998824D"</f>
        <v>19998824D</v>
      </c>
      <c r="C847" s="5" t="s">
        <v>868</v>
      </c>
      <c r="D847" s="4" t="s">
        <v>11</v>
      </c>
      <c r="E847" s="4" t="str">
        <f>"ASTC"</f>
        <v>ASTC</v>
      </c>
      <c r="F847" s="4" t="s">
        <v>812</v>
      </c>
      <c r="G847" s="4">
        <v>7</v>
      </c>
      <c r="H847" s="4">
        <v>3</v>
      </c>
      <c r="I847" s="4">
        <v>11</v>
      </c>
    </row>
    <row r="848" spans="1:9" ht="15.75" thickBot="1" x14ac:dyDescent="0.3">
      <c r="A848" s="3">
        <v>1094</v>
      </c>
      <c r="B848" s="3" t="str">
        <f>"20028823F"</f>
        <v>20028823F</v>
      </c>
      <c r="C848" s="5" t="s">
        <v>869</v>
      </c>
      <c r="D848" s="4" t="s">
        <v>11</v>
      </c>
      <c r="E848" s="4" t="str">
        <f>"ASTC"</f>
        <v>ASTC</v>
      </c>
      <c r="F848" s="4" t="s">
        <v>812</v>
      </c>
      <c r="G848" s="4">
        <v>6</v>
      </c>
      <c r="H848" s="4">
        <v>4</v>
      </c>
      <c r="I848" s="4">
        <v>12</v>
      </c>
    </row>
    <row r="849" spans="1:9" ht="15.75" thickBot="1" x14ac:dyDescent="0.3">
      <c r="A849" s="3">
        <v>1112</v>
      </c>
      <c r="B849" s="3" t="str">
        <f>"19788902I"</f>
        <v>19788902I</v>
      </c>
      <c r="C849" s="5" t="s">
        <v>870</v>
      </c>
      <c r="D849" s="4" t="s">
        <v>11</v>
      </c>
      <c r="E849" s="4" t="str">
        <f>"PRTC"</f>
        <v>PRTC</v>
      </c>
      <c r="F849" s="4" t="s">
        <v>812</v>
      </c>
      <c r="G849" s="4">
        <v>34</v>
      </c>
      <c r="H849" s="4">
        <v>6</v>
      </c>
      <c r="I849" s="4">
        <v>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A677-518D-4410-886F-F72C5805A536}">
  <dimension ref="A1:H96"/>
  <sheetViews>
    <sheetView tabSelected="1" workbookViewId="0">
      <selection activeCell="A50" sqref="A50:H52"/>
    </sheetView>
  </sheetViews>
  <sheetFormatPr baseColWidth="10" defaultColWidth="11.42578125" defaultRowHeight="15" x14ac:dyDescent="0.25"/>
  <cols>
    <col min="1" max="1" width="7.140625" customWidth="1"/>
    <col min="3" max="3" width="41.85546875" bestFit="1" customWidth="1"/>
    <col min="4" max="4" width="21.42578125" customWidth="1"/>
    <col min="5" max="5" width="14.28515625" customWidth="1"/>
  </cols>
  <sheetData>
    <row r="1" spans="1:8" ht="24" thickBot="1" x14ac:dyDescent="0.3">
      <c r="A1" s="12" t="s">
        <v>882</v>
      </c>
      <c r="B1" s="13"/>
      <c r="C1" s="13"/>
      <c r="D1" s="13"/>
      <c r="E1" s="13"/>
      <c r="F1" s="13"/>
      <c r="G1" s="13"/>
      <c r="H1" s="14"/>
    </row>
    <row r="2" spans="1:8" ht="27" thickBot="1" x14ac:dyDescent="0.3">
      <c r="A2" s="8"/>
      <c r="B2" s="8"/>
      <c r="C2" s="8"/>
      <c r="D2" s="8"/>
      <c r="E2" s="8"/>
      <c r="F2" s="8"/>
      <c r="G2" s="8"/>
      <c r="H2" s="8"/>
    </row>
    <row r="3" spans="1:8" ht="17.25" thickBot="1" x14ac:dyDescent="0.3">
      <c r="A3" s="15" t="s">
        <v>871</v>
      </c>
      <c r="B3" s="16"/>
      <c r="C3" s="16"/>
      <c r="D3" s="16"/>
      <c r="E3" s="16"/>
      <c r="F3" s="16"/>
      <c r="G3" s="16"/>
      <c r="H3" s="17"/>
    </row>
    <row r="4" spans="1:8" ht="15.75" thickBot="1" x14ac:dyDescent="0.3">
      <c r="A4" s="18" t="s">
        <v>1</v>
      </c>
      <c r="B4" s="18" t="s">
        <v>2</v>
      </c>
      <c r="C4" s="18" t="s">
        <v>872</v>
      </c>
      <c r="D4" s="18" t="s">
        <v>873</v>
      </c>
      <c r="E4" s="18" t="s">
        <v>874</v>
      </c>
      <c r="F4" s="20" t="s">
        <v>875</v>
      </c>
      <c r="G4" s="21"/>
      <c r="H4" s="22"/>
    </row>
    <row r="5" spans="1:8" ht="15.75" thickBot="1" x14ac:dyDescent="0.3">
      <c r="A5" s="19"/>
      <c r="B5" s="19" t="s">
        <v>2</v>
      </c>
      <c r="C5" s="19" t="s">
        <v>872</v>
      </c>
      <c r="D5" s="19" t="s">
        <v>873</v>
      </c>
      <c r="E5" s="19" t="s">
        <v>874</v>
      </c>
      <c r="F5" s="9" t="s">
        <v>7</v>
      </c>
      <c r="G5" s="9" t="s">
        <v>8</v>
      </c>
      <c r="H5" s="9" t="s">
        <v>9</v>
      </c>
    </row>
    <row r="6" spans="1:8" ht="15.75" thickBot="1" x14ac:dyDescent="0.3">
      <c r="A6" s="3">
        <v>1</v>
      </c>
      <c r="B6" s="3" t="str">
        <f>"20028002B"</f>
        <v>20028002B</v>
      </c>
      <c r="C6" s="10" t="s">
        <v>98</v>
      </c>
      <c r="D6" s="3" t="s">
        <v>11</v>
      </c>
      <c r="E6" s="3" t="str">
        <f t="shared" ref="E6:E12" si="0">"PRTC"</f>
        <v>PRTC</v>
      </c>
      <c r="F6" s="11">
        <v>7</v>
      </c>
      <c r="G6" s="11">
        <v>3</v>
      </c>
      <c r="H6" s="11">
        <v>11</v>
      </c>
    </row>
    <row r="7" spans="1:8" ht="15.75" thickBot="1" x14ac:dyDescent="0.3">
      <c r="A7" s="3">
        <v>2</v>
      </c>
      <c r="B7" s="3" t="str">
        <f>"19778143H"</f>
        <v>19778143H</v>
      </c>
      <c r="C7" s="10" t="s">
        <v>103</v>
      </c>
      <c r="D7" s="3" t="s">
        <v>11</v>
      </c>
      <c r="E7" s="3" t="str">
        <f t="shared" si="0"/>
        <v>PRTC</v>
      </c>
      <c r="F7" s="11">
        <v>23</v>
      </c>
      <c r="G7" s="11">
        <v>5</v>
      </c>
      <c r="H7" s="11">
        <v>19</v>
      </c>
    </row>
    <row r="8" spans="1:8" ht="15.75" thickBot="1" x14ac:dyDescent="0.3">
      <c r="A8" s="3">
        <v>3</v>
      </c>
      <c r="B8" s="3" t="str">
        <f>"20028124K"</f>
        <v>20028124K</v>
      </c>
      <c r="C8" s="10" t="s">
        <v>108</v>
      </c>
      <c r="D8" s="3" t="s">
        <v>11</v>
      </c>
      <c r="E8" s="3" t="str">
        <f t="shared" si="0"/>
        <v>PRTC</v>
      </c>
      <c r="F8" s="11">
        <v>7</v>
      </c>
      <c r="G8" s="11">
        <v>3</v>
      </c>
      <c r="H8" s="11">
        <v>11</v>
      </c>
    </row>
    <row r="9" spans="1:8" ht="15.75" thickBot="1" x14ac:dyDescent="0.3">
      <c r="A9" s="3">
        <v>4</v>
      </c>
      <c r="B9" s="3" t="str">
        <f>"19688259G"</f>
        <v>19688259G</v>
      </c>
      <c r="C9" s="10" t="s">
        <v>117</v>
      </c>
      <c r="D9" s="3" t="s">
        <v>11</v>
      </c>
      <c r="E9" s="3" t="str">
        <f t="shared" si="0"/>
        <v>PRTC</v>
      </c>
      <c r="F9" s="11">
        <v>35</v>
      </c>
      <c r="G9" s="11">
        <v>11</v>
      </c>
      <c r="H9" s="11">
        <v>0</v>
      </c>
    </row>
    <row r="10" spans="1:8" ht="15.75" thickBot="1" x14ac:dyDescent="0.3">
      <c r="A10" s="3">
        <v>5</v>
      </c>
      <c r="B10" s="3" t="str">
        <f>"19958252J"</f>
        <v>19958252J</v>
      </c>
      <c r="C10" s="10" t="s">
        <v>119</v>
      </c>
      <c r="D10" s="3" t="s">
        <v>11</v>
      </c>
      <c r="E10" s="3" t="str">
        <f t="shared" si="0"/>
        <v>PRTC</v>
      </c>
      <c r="F10" s="11">
        <v>8</v>
      </c>
      <c r="G10" s="11">
        <v>4</v>
      </c>
      <c r="H10" s="11">
        <v>10</v>
      </c>
    </row>
    <row r="11" spans="1:8" ht="15.75" thickBot="1" x14ac:dyDescent="0.3">
      <c r="A11" s="3">
        <v>6</v>
      </c>
      <c r="B11" s="3" t="str">
        <f>"19818305C"</f>
        <v>19818305C</v>
      </c>
      <c r="C11" s="10" t="s">
        <v>123</v>
      </c>
      <c r="D11" s="3" t="s">
        <v>11</v>
      </c>
      <c r="E11" s="3" t="str">
        <f t="shared" si="0"/>
        <v>PRTC</v>
      </c>
      <c r="F11" s="11">
        <v>13</v>
      </c>
      <c r="G11" s="11">
        <v>2</v>
      </c>
      <c r="H11" s="11">
        <v>14</v>
      </c>
    </row>
    <row r="12" spans="1:8" ht="15.75" thickBot="1" x14ac:dyDescent="0.3">
      <c r="A12" s="3">
        <v>7</v>
      </c>
      <c r="B12" s="3" t="str">
        <f>"19918304I"</f>
        <v>19918304I</v>
      </c>
      <c r="C12" s="10" t="s">
        <v>124</v>
      </c>
      <c r="D12" s="3" t="s">
        <v>11</v>
      </c>
      <c r="E12" s="3" t="str">
        <f t="shared" si="0"/>
        <v>PRTC</v>
      </c>
      <c r="F12" s="11">
        <v>17</v>
      </c>
      <c r="G12" s="11">
        <v>7</v>
      </c>
      <c r="H12" s="11">
        <v>12</v>
      </c>
    </row>
    <row r="13" spans="1:8" ht="15.75" thickBot="1" x14ac:dyDescent="0.3">
      <c r="A13" s="3">
        <v>8</v>
      </c>
      <c r="B13" s="3" t="str">
        <f>"19888445I"</f>
        <v>19888445I</v>
      </c>
      <c r="C13" s="10" t="s">
        <v>129</v>
      </c>
      <c r="D13" s="3" t="s">
        <v>11</v>
      </c>
      <c r="E13" s="3" t="str">
        <f>"PRDE"</f>
        <v>PRDE</v>
      </c>
      <c r="F13" s="11">
        <v>23</v>
      </c>
      <c r="G13" s="11">
        <v>10</v>
      </c>
      <c r="H13" s="11">
        <v>3</v>
      </c>
    </row>
    <row r="14" spans="1:8" ht="15.75" thickBot="1" x14ac:dyDescent="0.3">
      <c r="A14" s="3">
        <v>9</v>
      </c>
      <c r="B14" s="3" t="str">
        <f>"19838447H"</f>
        <v>19838447H</v>
      </c>
      <c r="C14" s="10" t="s">
        <v>133</v>
      </c>
      <c r="D14" s="3" t="s">
        <v>11</v>
      </c>
      <c r="E14" s="3" t="str">
        <f>"PRTC"</f>
        <v>PRTC</v>
      </c>
      <c r="F14" s="11">
        <v>14</v>
      </c>
      <c r="G14" s="11">
        <v>1</v>
      </c>
      <c r="H14" s="11">
        <v>0</v>
      </c>
    </row>
    <row r="15" spans="1:8" ht="15.75" thickBot="1" x14ac:dyDescent="0.3">
      <c r="A15" s="3">
        <v>10</v>
      </c>
      <c r="B15" s="3" t="str">
        <f>"19888452E"</f>
        <v>19888452E</v>
      </c>
      <c r="C15" s="10" t="s">
        <v>134</v>
      </c>
      <c r="D15" s="3" t="s">
        <v>11</v>
      </c>
      <c r="E15" s="3" t="str">
        <f>"PRDE"</f>
        <v>PRDE</v>
      </c>
      <c r="F15" s="11">
        <v>8</v>
      </c>
      <c r="G15" s="11">
        <v>4</v>
      </c>
      <c r="H15" s="11">
        <v>10</v>
      </c>
    </row>
    <row r="16" spans="1:8" ht="15.75" thickBot="1" x14ac:dyDescent="0.3">
      <c r="A16" s="3">
        <v>11</v>
      </c>
      <c r="B16" s="3" t="str">
        <f>"19858509I"</f>
        <v>19858509I</v>
      </c>
      <c r="C16" s="10" t="s">
        <v>137</v>
      </c>
      <c r="D16" s="3" t="s">
        <v>11</v>
      </c>
      <c r="E16" s="3" t="str">
        <f>"PRTC"</f>
        <v>PRTC</v>
      </c>
      <c r="F16" s="11">
        <v>17</v>
      </c>
      <c r="G16" s="11">
        <v>7</v>
      </c>
      <c r="H16" s="11">
        <v>12</v>
      </c>
    </row>
    <row r="17" spans="1:8" ht="15.75" thickBot="1" x14ac:dyDescent="0.3">
      <c r="A17" s="3">
        <v>12</v>
      </c>
      <c r="B17" s="3" t="str">
        <f>"19718506G"</f>
        <v>19718506G</v>
      </c>
      <c r="C17" s="10" t="s">
        <v>144</v>
      </c>
      <c r="D17" s="3" t="s">
        <v>11</v>
      </c>
      <c r="E17" s="3" t="str">
        <f>"PRTC"</f>
        <v>PRTC</v>
      </c>
      <c r="F17" s="11">
        <v>33</v>
      </c>
      <c r="G17" s="11">
        <v>6</v>
      </c>
      <c r="H17" s="11">
        <v>2</v>
      </c>
    </row>
    <row r="18" spans="1:8" ht="15.75" thickBot="1" x14ac:dyDescent="0.3">
      <c r="A18" s="3">
        <v>13</v>
      </c>
      <c r="B18" s="3" t="str">
        <f>"20038582A"</f>
        <v>20038582A</v>
      </c>
      <c r="C18" s="10" t="s">
        <v>152</v>
      </c>
      <c r="D18" s="3" t="s">
        <v>11</v>
      </c>
      <c r="E18" s="3" t="str">
        <f>"PRTC"</f>
        <v>PRTC</v>
      </c>
      <c r="F18" s="11">
        <v>7</v>
      </c>
      <c r="G18" s="11">
        <v>3</v>
      </c>
      <c r="H18" s="11">
        <v>11</v>
      </c>
    </row>
    <row r="19" spans="1:8" ht="15.75" thickBot="1" x14ac:dyDescent="0.3">
      <c r="A19" s="3">
        <v>14</v>
      </c>
      <c r="B19" s="3" t="str">
        <f>"19808606K"</f>
        <v>19808606K</v>
      </c>
      <c r="C19" s="10" t="s">
        <v>162</v>
      </c>
      <c r="D19" s="3" t="s">
        <v>11</v>
      </c>
      <c r="E19" s="3" t="str">
        <f>"PRTC"</f>
        <v>PRTC</v>
      </c>
      <c r="F19" s="11">
        <v>26</v>
      </c>
      <c r="G19" s="11">
        <v>9</v>
      </c>
      <c r="H19" s="11">
        <v>2</v>
      </c>
    </row>
    <row r="20" spans="1:8" ht="15.75" thickBot="1" x14ac:dyDescent="0.3">
      <c r="A20" s="3">
        <v>15</v>
      </c>
      <c r="B20" s="3" t="str">
        <f>"19918603F"</f>
        <v>19918603F</v>
      </c>
      <c r="C20" s="10" t="s">
        <v>164</v>
      </c>
      <c r="D20" s="3" t="s">
        <v>11</v>
      </c>
      <c r="E20" s="3" t="str">
        <f>"PRTC"</f>
        <v>PRTC</v>
      </c>
      <c r="F20" s="11">
        <v>9</v>
      </c>
      <c r="G20" s="11">
        <v>6</v>
      </c>
      <c r="H20" s="11">
        <v>12</v>
      </c>
    </row>
    <row r="21" spans="1:8" ht="15.75" thickBot="1" x14ac:dyDescent="0.3">
      <c r="A21" s="3">
        <v>16</v>
      </c>
      <c r="B21" s="3" t="str">
        <f>"19848606A"</f>
        <v>19848606A</v>
      </c>
      <c r="C21" s="10" t="s">
        <v>165</v>
      </c>
      <c r="D21" s="3" t="s">
        <v>11</v>
      </c>
      <c r="E21" s="3" t="str">
        <f>"PRDE"</f>
        <v>PRDE</v>
      </c>
      <c r="F21" s="11">
        <v>17</v>
      </c>
      <c r="G21" s="11">
        <v>7</v>
      </c>
      <c r="H21" s="11">
        <v>12</v>
      </c>
    </row>
    <row r="22" spans="1:8" ht="15.75" thickBot="1" x14ac:dyDescent="0.3">
      <c r="A22" s="3">
        <v>17</v>
      </c>
      <c r="B22" s="3" t="str">
        <f>"19938668F"</f>
        <v>19938668F</v>
      </c>
      <c r="C22" s="10" t="s">
        <v>169</v>
      </c>
      <c r="D22" s="3" t="s">
        <v>11</v>
      </c>
      <c r="E22" s="3" t="str">
        <f>"PRTC"</f>
        <v>PRTC</v>
      </c>
      <c r="F22" s="11">
        <v>17</v>
      </c>
      <c r="G22" s="11">
        <v>3</v>
      </c>
      <c r="H22" s="11">
        <v>3</v>
      </c>
    </row>
    <row r="23" spans="1:8" ht="15.75" thickBot="1" x14ac:dyDescent="0.3">
      <c r="A23" s="3">
        <v>18</v>
      </c>
      <c r="B23" s="3" t="str">
        <f>"19898719D"</f>
        <v>19898719D</v>
      </c>
      <c r="C23" s="10" t="s">
        <v>173</v>
      </c>
      <c r="D23" s="3" t="s">
        <v>11</v>
      </c>
      <c r="E23" s="3" t="str">
        <f>"PRTC"</f>
        <v>PRTC</v>
      </c>
      <c r="F23" s="11">
        <v>16</v>
      </c>
      <c r="G23" s="11">
        <v>8</v>
      </c>
      <c r="H23" s="11">
        <v>12</v>
      </c>
    </row>
    <row r="24" spans="1:8" ht="15.75" thickBot="1" x14ac:dyDescent="0.3">
      <c r="A24" s="3">
        <v>19</v>
      </c>
      <c r="B24" s="3" t="str">
        <f>"19908719A"</f>
        <v>19908719A</v>
      </c>
      <c r="C24" s="10" t="s">
        <v>174</v>
      </c>
      <c r="D24" s="3" t="s">
        <v>11</v>
      </c>
      <c r="E24" s="3" t="str">
        <f>"PRTC"</f>
        <v>PRTC</v>
      </c>
      <c r="F24" s="11">
        <v>13</v>
      </c>
      <c r="G24" s="11">
        <v>3</v>
      </c>
      <c r="H24" s="11">
        <v>6</v>
      </c>
    </row>
    <row r="25" spans="1:8" ht="15.75" thickBot="1" x14ac:dyDescent="0.3">
      <c r="A25" s="3">
        <v>20</v>
      </c>
      <c r="B25" s="3" t="str">
        <f>"19898768E"</f>
        <v>19898768E</v>
      </c>
      <c r="C25" s="10" t="s">
        <v>176</v>
      </c>
      <c r="D25" s="3" t="s">
        <v>11</v>
      </c>
      <c r="E25" s="3" t="str">
        <f>"PRTC"</f>
        <v>PRTC</v>
      </c>
      <c r="F25" s="11">
        <v>17</v>
      </c>
      <c r="G25" s="11">
        <v>7</v>
      </c>
      <c r="H25" s="11">
        <v>12</v>
      </c>
    </row>
    <row r="26" spans="1:8" ht="15.75" thickBot="1" x14ac:dyDescent="0.3">
      <c r="A26" s="3">
        <v>21</v>
      </c>
      <c r="B26" s="3" t="str">
        <f>"19718833H"</f>
        <v>19718833H</v>
      </c>
      <c r="C26" s="10" t="s">
        <v>178</v>
      </c>
      <c r="D26" s="3" t="s">
        <v>11</v>
      </c>
      <c r="E26" s="3" t="str">
        <f>"PRTC"</f>
        <v>PRTC</v>
      </c>
      <c r="F26" s="11">
        <v>40</v>
      </c>
      <c r="G26" s="11">
        <v>7</v>
      </c>
      <c r="H26" s="11">
        <v>0</v>
      </c>
    </row>
    <row r="27" spans="1:8" ht="15.75" thickBot="1" x14ac:dyDescent="0.3"/>
    <row r="28" spans="1:8" ht="17.25" thickBot="1" x14ac:dyDescent="0.3">
      <c r="A28" s="15" t="s">
        <v>876</v>
      </c>
      <c r="B28" s="16"/>
      <c r="C28" s="16"/>
      <c r="D28" s="16"/>
      <c r="E28" s="16"/>
      <c r="F28" s="16"/>
      <c r="G28" s="16"/>
      <c r="H28" s="17"/>
    </row>
    <row r="29" spans="1:8" ht="15.75" thickBot="1" x14ac:dyDescent="0.3">
      <c r="A29" s="18" t="s">
        <v>1</v>
      </c>
      <c r="B29" s="18" t="s">
        <v>2</v>
      </c>
      <c r="C29" s="18" t="s">
        <v>872</v>
      </c>
      <c r="D29" s="18" t="s">
        <v>873</v>
      </c>
      <c r="E29" s="18" t="s">
        <v>874</v>
      </c>
      <c r="F29" s="20" t="s">
        <v>875</v>
      </c>
      <c r="G29" s="21"/>
      <c r="H29" s="22"/>
    </row>
    <row r="30" spans="1:8" ht="15.75" thickBot="1" x14ac:dyDescent="0.3">
      <c r="A30" s="19"/>
      <c r="B30" s="19" t="s">
        <v>2</v>
      </c>
      <c r="C30" s="19" t="s">
        <v>872</v>
      </c>
      <c r="D30" s="19" t="s">
        <v>873</v>
      </c>
      <c r="E30" s="19" t="s">
        <v>874</v>
      </c>
      <c r="F30" s="9" t="s">
        <v>7</v>
      </c>
      <c r="G30" s="9" t="s">
        <v>8</v>
      </c>
      <c r="H30" s="9" t="s">
        <v>9</v>
      </c>
    </row>
    <row r="31" spans="1:8" ht="15.75" thickBot="1" x14ac:dyDescent="0.3">
      <c r="A31" s="3">
        <v>1</v>
      </c>
      <c r="B31" s="3" t="s">
        <v>883</v>
      </c>
      <c r="C31" s="10" t="s">
        <v>102</v>
      </c>
      <c r="D31" s="3" t="s">
        <v>11</v>
      </c>
      <c r="E31" s="3" t="s">
        <v>877</v>
      </c>
      <c r="F31" s="11">
        <v>23</v>
      </c>
      <c r="G31" s="11">
        <v>10</v>
      </c>
      <c r="H31" s="11">
        <v>3</v>
      </c>
    </row>
    <row r="32" spans="1:8" ht="15.75" thickBot="1" x14ac:dyDescent="0.3">
      <c r="A32" s="3">
        <v>2</v>
      </c>
      <c r="B32" s="3" t="s">
        <v>884</v>
      </c>
      <c r="C32" s="10" t="s">
        <v>109</v>
      </c>
      <c r="D32" s="3" t="s">
        <v>11</v>
      </c>
      <c r="E32" s="3" t="s">
        <v>877</v>
      </c>
      <c r="F32" s="11">
        <v>13</v>
      </c>
      <c r="G32" s="11">
        <v>2</v>
      </c>
      <c r="H32" s="11">
        <v>14</v>
      </c>
    </row>
    <row r="33" spans="1:8" ht="15.75" thickBot="1" x14ac:dyDescent="0.3">
      <c r="A33" s="3">
        <v>3</v>
      </c>
      <c r="B33" s="3" t="s">
        <v>885</v>
      </c>
      <c r="C33" s="10" t="s">
        <v>112</v>
      </c>
      <c r="D33" s="3" t="s">
        <v>11</v>
      </c>
      <c r="E33" s="3" t="s">
        <v>877</v>
      </c>
      <c r="F33" s="11">
        <v>7</v>
      </c>
      <c r="G33" s="11">
        <v>4</v>
      </c>
      <c r="H33" s="11">
        <v>11</v>
      </c>
    </row>
    <row r="34" spans="1:8" ht="15.75" thickBot="1" x14ac:dyDescent="0.3">
      <c r="A34" s="3">
        <v>4</v>
      </c>
      <c r="B34" s="3" t="s">
        <v>886</v>
      </c>
      <c r="C34" s="10" t="s">
        <v>113</v>
      </c>
      <c r="D34" s="3" t="s">
        <v>11</v>
      </c>
      <c r="E34" s="3" t="s">
        <v>877</v>
      </c>
      <c r="F34" s="11">
        <v>26</v>
      </c>
      <c r="G34" s="11">
        <v>9</v>
      </c>
      <c r="H34" s="11">
        <v>2</v>
      </c>
    </row>
    <row r="35" spans="1:8" ht="15.75" thickBot="1" x14ac:dyDescent="0.3">
      <c r="A35" s="3">
        <v>5</v>
      </c>
      <c r="B35" s="3" t="s">
        <v>887</v>
      </c>
      <c r="C35" s="10" t="s">
        <v>116</v>
      </c>
      <c r="D35" s="3" t="s">
        <v>11</v>
      </c>
      <c r="E35" s="3" t="s">
        <v>877</v>
      </c>
      <c r="F35" s="11">
        <v>28</v>
      </c>
      <c r="G35" s="11">
        <v>6</v>
      </c>
      <c r="H35" s="11">
        <v>28</v>
      </c>
    </row>
    <row r="36" spans="1:8" ht="15.75" thickBot="1" x14ac:dyDescent="0.3">
      <c r="A36" s="3">
        <v>6</v>
      </c>
      <c r="B36" s="3" t="s">
        <v>888</v>
      </c>
      <c r="C36" s="10" t="s">
        <v>126</v>
      </c>
      <c r="D36" s="3" t="s">
        <v>11</v>
      </c>
      <c r="E36" s="3" t="s">
        <v>877</v>
      </c>
      <c r="F36" s="11">
        <v>14</v>
      </c>
      <c r="G36" s="11">
        <v>1</v>
      </c>
      <c r="H36" s="11">
        <v>0</v>
      </c>
    </row>
    <row r="37" spans="1:8" ht="15.75" thickBot="1" x14ac:dyDescent="0.3">
      <c r="A37" s="3">
        <v>7</v>
      </c>
      <c r="B37" s="3" t="s">
        <v>889</v>
      </c>
      <c r="C37" s="10" t="s">
        <v>127</v>
      </c>
      <c r="D37" s="3" t="s">
        <v>11</v>
      </c>
      <c r="E37" s="3" t="s">
        <v>877</v>
      </c>
      <c r="F37" s="11">
        <v>25</v>
      </c>
      <c r="G37" s="11">
        <v>9</v>
      </c>
      <c r="H37" s="11">
        <v>2</v>
      </c>
    </row>
    <row r="38" spans="1:8" ht="15.75" thickBot="1" x14ac:dyDescent="0.3">
      <c r="A38" s="3">
        <v>8</v>
      </c>
      <c r="B38" s="3" t="s">
        <v>890</v>
      </c>
      <c r="C38" s="10" t="s">
        <v>131</v>
      </c>
      <c r="D38" s="3" t="s">
        <v>11</v>
      </c>
      <c r="E38" s="3" t="s">
        <v>877</v>
      </c>
      <c r="F38" s="11">
        <v>6</v>
      </c>
      <c r="G38" s="11">
        <v>4</v>
      </c>
      <c r="H38" s="11">
        <v>12</v>
      </c>
    </row>
    <row r="39" spans="1:8" ht="15.75" thickBot="1" x14ac:dyDescent="0.3">
      <c r="A39" s="3">
        <v>9</v>
      </c>
      <c r="B39" s="3" t="s">
        <v>891</v>
      </c>
      <c r="C39" s="10" t="s">
        <v>132</v>
      </c>
      <c r="D39" s="3" t="s">
        <v>11</v>
      </c>
      <c r="E39" s="3" t="s">
        <v>877</v>
      </c>
      <c r="F39" s="11">
        <v>6</v>
      </c>
      <c r="G39" s="11">
        <v>4</v>
      </c>
      <c r="H39" s="11">
        <v>12</v>
      </c>
    </row>
    <row r="40" spans="1:8" ht="15.75" thickBot="1" x14ac:dyDescent="0.3">
      <c r="A40" s="3">
        <v>10</v>
      </c>
      <c r="B40" s="3" t="s">
        <v>892</v>
      </c>
      <c r="C40" s="10" t="s">
        <v>135</v>
      </c>
      <c r="D40" s="3" t="s">
        <v>11</v>
      </c>
      <c r="E40" s="3" t="s">
        <v>877</v>
      </c>
      <c r="F40" s="11">
        <v>6</v>
      </c>
      <c r="G40" s="11">
        <v>4</v>
      </c>
      <c r="H40" s="11">
        <v>12</v>
      </c>
    </row>
    <row r="41" spans="1:8" ht="15.75" thickBot="1" x14ac:dyDescent="0.3">
      <c r="A41" s="3">
        <v>11</v>
      </c>
      <c r="B41" s="3" t="s">
        <v>893</v>
      </c>
      <c r="C41" s="10" t="s">
        <v>141</v>
      </c>
      <c r="D41" s="3" t="s">
        <v>11</v>
      </c>
      <c r="E41" s="3" t="s">
        <v>877</v>
      </c>
      <c r="F41" s="11">
        <v>13</v>
      </c>
      <c r="G41" s="11">
        <v>2</v>
      </c>
      <c r="H41" s="11">
        <v>14</v>
      </c>
    </row>
    <row r="42" spans="1:8" ht="15.75" thickBot="1" x14ac:dyDescent="0.3">
      <c r="A42" s="3">
        <v>12</v>
      </c>
      <c r="B42" s="3" t="s">
        <v>894</v>
      </c>
      <c r="C42" s="10" t="s">
        <v>146</v>
      </c>
      <c r="D42" s="3" t="s">
        <v>11</v>
      </c>
      <c r="E42" s="3" t="s">
        <v>877</v>
      </c>
      <c r="F42" s="11">
        <v>13</v>
      </c>
      <c r="G42" s="11">
        <v>2</v>
      </c>
      <c r="H42" s="11">
        <v>14</v>
      </c>
    </row>
    <row r="43" spans="1:8" ht="15.75" thickBot="1" x14ac:dyDescent="0.3">
      <c r="A43" s="3">
        <v>13</v>
      </c>
      <c r="B43" s="3" t="s">
        <v>895</v>
      </c>
      <c r="C43" s="10" t="s">
        <v>149</v>
      </c>
      <c r="D43" s="3" t="s">
        <v>11</v>
      </c>
      <c r="E43" s="3" t="s">
        <v>878</v>
      </c>
      <c r="F43" s="11">
        <v>6</v>
      </c>
      <c r="G43" s="11">
        <v>4</v>
      </c>
      <c r="H43" s="11">
        <v>12</v>
      </c>
    </row>
    <row r="44" spans="1:8" ht="15.75" thickBot="1" x14ac:dyDescent="0.3">
      <c r="A44" s="3">
        <v>14</v>
      </c>
      <c r="B44" s="3" t="s">
        <v>896</v>
      </c>
      <c r="C44" s="10" t="s">
        <v>161</v>
      </c>
      <c r="D44" s="3" t="s">
        <v>11</v>
      </c>
      <c r="E44" s="3" t="s">
        <v>877</v>
      </c>
      <c r="F44" s="11">
        <v>28</v>
      </c>
      <c r="G44" s="11">
        <v>1</v>
      </c>
      <c r="H44" s="11">
        <v>1</v>
      </c>
    </row>
    <row r="45" spans="1:8" ht="15.75" thickBot="1" x14ac:dyDescent="0.3">
      <c r="A45" s="3">
        <v>15</v>
      </c>
      <c r="B45" s="3" t="s">
        <v>897</v>
      </c>
      <c r="C45" s="10" t="s">
        <v>163</v>
      </c>
      <c r="D45" s="3" t="s">
        <v>11</v>
      </c>
      <c r="E45" s="3" t="s">
        <v>877</v>
      </c>
      <c r="F45" s="11">
        <v>13</v>
      </c>
      <c r="G45" s="11">
        <v>2</v>
      </c>
      <c r="H45" s="11">
        <v>14</v>
      </c>
    </row>
    <row r="46" spans="1:8" ht="15.75" thickBot="1" x14ac:dyDescent="0.3">
      <c r="A46" s="3">
        <v>16</v>
      </c>
      <c r="B46" s="3" t="s">
        <v>898</v>
      </c>
      <c r="C46" s="10" t="s">
        <v>166</v>
      </c>
      <c r="D46" s="3" t="s">
        <v>11</v>
      </c>
      <c r="E46" s="3" t="s">
        <v>877</v>
      </c>
      <c r="F46" s="11">
        <v>7</v>
      </c>
      <c r="G46" s="11">
        <v>4</v>
      </c>
      <c r="H46" s="11">
        <v>11</v>
      </c>
    </row>
    <row r="47" spans="1:8" ht="15.75" thickBot="1" x14ac:dyDescent="0.3">
      <c r="A47" s="3">
        <v>17</v>
      </c>
      <c r="B47" s="3" t="s">
        <v>899</v>
      </c>
      <c r="C47" s="10" t="s">
        <v>179</v>
      </c>
      <c r="D47" s="3" t="s">
        <v>11</v>
      </c>
      <c r="E47" s="3" t="s">
        <v>877</v>
      </c>
      <c r="F47" s="11">
        <v>13</v>
      </c>
      <c r="G47" s="11">
        <v>2</v>
      </c>
      <c r="H47" s="11">
        <v>14</v>
      </c>
    </row>
    <row r="48" spans="1:8" ht="15.75" thickBot="1" x14ac:dyDescent="0.3">
      <c r="A48" s="3">
        <v>18</v>
      </c>
      <c r="B48" s="3" t="s">
        <v>900</v>
      </c>
      <c r="C48" s="10" t="s">
        <v>180</v>
      </c>
      <c r="D48" s="3" t="s">
        <v>11</v>
      </c>
      <c r="E48" s="3" t="s">
        <v>878</v>
      </c>
      <c r="F48" s="11">
        <v>13</v>
      </c>
      <c r="G48" s="11">
        <v>1</v>
      </c>
      <c r="H48" s="11">
        <v>0</v>
      </c>
    </row>
    <row r="49" spans="1:8" ht="15.75" thickBot="1" x14ac:dyDescent="0.3"/>
    <row r="50" spans="1:8" ht="17.25" thickBot="1" x14ac:dyDescent="0.3">
      <c r="A50" s="15" t="s">
        <v>879</v>
      </c>
      <c r="B50" s="16"/>
      <c r="C50" s="16"/>
      <c r="D50" s="16"/>
      <c r="E50" s="16"/>
      <c r="F50" s="16"/>
      <c r="G50" s="16"/>
      <c r="H50" s="17"/>
    </row>
    <row r="51" spans="1:8" ht="15.75" thickBot="1" x14ac:dyDescent="0.3">
      <c r="A51" s="18" t="s">
        <v>1</v>
      </c>
      <c r="B51" s="18" t="s">
        <v>2</v>
      </c>
      <c r="C51" s="18" t="s">
        <v>872</v>
      </c>
      <c r="D51" s="18" t="s">
        <v>873</v>
      </c>
      <c r="E51" s="18" t="s">
        <v>874</v>
      </c>
      <c r="F51" s="20" t="s">
        <v>875</v>
      </c>
      <c r="G51" s="21"/>
      <c r="H51" s="22"/>
    </row>
    <row r="52" spans="1:8" ht="15.75" thickBot="1" x14ac:dyDescent="0.3">
      <c r="A52" s="19"/>
      <c r="B52" s="19" t="s">
        <v>2</v>
      </c>
      <c r="C52" s="19" t="s">
        <v>872</v>
      </c>
      <c r="D52" s="19" t="s">
        <v>873</v>
      </c>
      <c r="E52" s="19" t="s">
        <v>874</v>
      </c>
      <c r="F52" s="9" t="s">
        <v>7</v>
      </c>
      <c r="G52" s="9" t="s">
        <v>8</v>
      </c>
      <c r="H52" s="9" t="s">
        <v>9</v>
      </c>
    </row>
    <row r="53" spans="1:8" ht="15.75" thickBot="1" x14ac:dyDescent="0.3">
      <c r="A53" s="3">
        <v>1</v>
      </c>
      <c r="B53" s="3" t="s">
        <v>901</v>
      </c>
      <c r="C53" s="10" t="s">
        <v>96</v>
      </c>
      <c r="D53" s="3" t="s">
        <v>11</v>
      </c>
      <c r="E53" s="3" t="s">
        <v>880</v>
      </c>
      <c r="F53" s="11">
        <v>4</v>
      </c>
      <c r="G53" s="11">
        <v>6</v>
      </c>
      <c r="H53" s="11">
        <v>0</v>
      </c>
    </row>
    <row r="54" spans="1:8" ht="15.75" thickBot="1" x14ac:dyDescent="0.3">
      <c r="A54" s="3">
        <v>2</v>
      </c>
      <c r="B54" s="3" t="s">
        <v>902</v>
      </c>
      <c r="C54" s="10" t="s">
        <v>99</v>
      </c>
      <c r="D54" s="3" t="s">
        <v>11</v>
      </c>
      <c r="E54" s="3" t="s">
        <v>880</v>
      </c>
      <c r="F54" s="11">
        <v>4</v>
      </c>
      <c r="G54" s="11">
        <v>6</v>
      </c>
      <c r="H54" s="11">
        <v>0</v>
      </c>
    </row>
    <row r="55" spans="1:8" ht="15.75" thickBot="1" x14ac:dyDescent="0.3">
      <c r="A55" s="3">
        <v>3</v>
      </c>
      <c r="B55" s="3" t="s">
        <v>903</v>
      </c>
      <c r="C55" s="10" t="s">
        <v>100</v>
      </c>
      <c r="D55" s="3" t="s">
        <v>11</v>
      </c>
      <c r="E55" s="3" t="s">
        <v>880</v>
      </c>
      <c r="F55" s="11">
        <v>4</v>
      </c>
      <c r="G55" s="11">
        <v>6</v>
      </c>
      <c r="H55" s="11">
        <v>0</v>
      </c>
    </row>
    <row r="56" spans="1:8" ht="15.75" thickBot="1" x14ac:dyDescent="0.3">
      <c r="A56" s="3">
        <v>4</v>
      </c>
      <c r="B56" s="3" t="s">
        <v>904</v>
      </c>
      <c r="C56" s="10" t="s">
        <v>101</v>
      </c>
      <c r="D56" s="3" t="s">
        <v>11</v>
      </c>
      <c r="E56" s="3" t="s">
        <v>880</v>
      </c>
      <c r="F56" s="11">
        <v>4</v>
      </c>
      <c r="G56" s="11">
        <v>6</v>
      </c>
      <c r="H56" s="11">
        <v>0</v>
      </c>
    </row>
    <row r="57" spans="1:8" ht="15.75" thickBot="1" x14ac:dyDescent="0.3">
      <c r="A57" s="3">
        <v>5</v>
      </c>
      <c r="B57" s="3" t="s">
        <v>905</v>
      </c>
      <c r="C57" s="10" t="s">
        <v>104</v>
      </c>
      <c r="D57" s="3" t="s">
        <v>11</v>
      </c>
      <c r="E57" s="3" t="s">
        <v>880</v>
      </c>
      <c r="F57" s="11">
        <v>4</v>
      </c>
      <c r="G57" s="11">
        <v>6</v>
      </c>
      <c r="H57" s="11">
        <v>0</v>
      </c>
    </row>
    <row r="58" spans="1:8" ht="15.75" thickBot="1" x14ac:dyDescent="0.3">
      <c r="A58" s="3">
        <v>6</v>
      </c>
      <c r="B58" s="3" t="s">
        <v>906</v>
      </c>
      <c r="C58" s="10" t="s">
        <v>105</v>
      </c>
      <c r="D58" s="3" t="s">
        <v>11</v>
      </c>
      <c r="E58" s="3" t="s">
        <v>881</v>
      </c>
      <c r="F58" s="11">
        <v>4</v>
      </c>
      <c r="G58" s="11">
        <v>6</v>
      </c>
      <c r="H58" s="11">
        <v>0</v>
      </c>
    </row>
    <row r="59" spans="1:8" ht="15.75" thickBot="1" x14ac:dyDescent="0.3">
      <c r="A59" s="3">
        <v>7</v>
      </c>
      <c r="B59" s="3" t="s">
        <v>907</v>
      </c>
      <c r="C59" s="10" t="s">
        <v>106</v>
      </c>
      <c r="D59" s="3" t="s">
        <v>11</v>
      </c>
      <c r="E59" s="3" t="s">
        <v>880</v>
      </c>
      <c r="F59" s="11">
        <v>16</v>
      </c>
      <c r="G59" s="11">
        <v>6</v>
      </c>
      <c r="H59" s="11">
        <v>0</v>
      </c>
    </row>
    <row r="60" spans="1:8" ht="15.75" thickBot="1" x14ac:dyDescent="0.3">
      <c r="A60" s="3">
        <v>8</v>
      </c>
      <c r="B60" s="3" t="s">
        <v>908</v>
      </c>
      <c r="C60" s="10" t="s">
        <v>107</v>
      </c>
      <c r="D60" s="3" t="s">
        <v>11</v>
      </c>
      <c r="E60" s="3" t="s">
        <v>881</v>
      </c>
      <c r="F60" s="11">
        <v>4</v>
      </c>
      <c r="G60" s="11">
        <v>6</v>
      </c>
      <c r="H60" s="11">
        <v>0</v>
      </c>
    </row>
    <row r="61" spans="1:8" ht="15.75" thickBot="1" x14ac:dyDescent="0.3">
      <c r="A61" s="3">
        <v>9</v>
      </c>
      <c r="B61" s="3" t="s">
        <v>909</v>
      </c>
      <c r="C61" s="10" t="s">
        <v>110</v>
      </c>
      <c r="D61" s="3" t="s">
        <v>11</v>
      </c>
      <c r="E61" s="3" t="s">
        <v>880</v>
      </c>
      <c r="F61" s="11">
        <v>14</v>
      </c>
      <c r="G61" s="11">
        <v>6</v>
      </c>
      <c r="H61" s="11">
        <v>0</v>
      </c>
    </row>
    <row r="62" spans="1:8" ht="15.75" thickBot="1" x14ac:dyDescent="0.3">
      <c r="A62" s="3">
        <v>10</v>
      </c>
      <c r="B62" s="3" t="s">
        <v>910</v>
      </c>
      <c r="C62" s="10" t="s">
        <v>111</v>
      </c>
      <c r="D62" s="3" t="s">
        <v>11</v>
      </c>
      <c r="E62" s="3" t="s">
        <v>880</v>
      </c>
      <c r="F62" s="11">
        <v>4</v>
      </c>
      <c r="G62" s="11">
        <v>6</v>
      </c>
      <c r="H62" s="11">
        <v>0</v>
      </c>
    </row>
    <row r="63" spans="1:8" ht="15.75" thickBot="1" x14ac:dyDescent="0.3">
      <c r="A63" s="3">
        <v>11</v>
      </c>
      <c r="B63" s="3" t="s">
        <v>911</v>
      </c>
      <c r="C63" s="10" t="s">
        <v>114</v>
      </c>
      <c r="D63" s="3" t="s">
        <v>11</v>
      </c>
      <c r="E63" s="3" t="s">
        <v>880</v>
      </c>
      <c r="F63" s="11">
        <v>4</v>
      </c>
      <c r="G63" s="11">
        <v>6</v>
      </c>
      <c r="H63" s="11">
        <v>0</v>
      </c>
    </row>
    <row r="64" spans="1:8" ht="15.75" thickBot="1" x14ac:dyDescent="0.3">
      <c r="A64" s="3">
        <v>12</v>
      </c>
      <c r="B64" s="3" t="s">
        <v>912</v>
      </c>
      <c r="C64" s="10" t="s">
        <v>115</v>
      </c>
      <c r="D64" s="3" t="s">
        <v>11</v>
      </c>
      <c r="E64" s="3" t="s">
        <v>880</v>
      </c>
      <c r="F64" s="11">
        <v>4</v>
      </c>
      <c r="G64" s="11">
        <v>6</v>
      </c>
      <c r="H64" s="11">
        <v>0</v>
      </c>
    </row>
    <row r="65" spans="1:8" ht="15.75" thickBot="1" x14ac:dyDescent="0.3">
      <c r="A65" s="3">
        <v>13</v>
      </c>
      <c r="B65" s="3" t="s">
        <v>913</v>
      </c>
      <c r="C65" s="10" t="s">
        <v>120</v>
      </c>
      <c r="D65" s="3" t="s">
        <v>11</v>
      </c>
      <c r="E65" s="3" t="s">
        <v>880</v>
      </c>
      <c r="F65" s="11">
        <v>16</v>
      </c>
      <c r="G65" s="11">
        <v>6</v>
      </c>
      <c r="H65" s="11">
        <v>0</v>
      </c>
    </row>
    <row r="66" spans="1:8" ht="15.75" thickBot="1" x14ac:dyDescent="0.3">
      <c r="A66" s="3">
        <v>14</v>
      </c>
      <c r="B66" s="3" t="s">
        <v>914</v>
      </c>
      <c r="C66" s="10" t="s">
        <v>122</v>
      </c>
      <c r="D66" s="3" t="s">
        <v>11</v>
      </c>
      <c r="E66" s="3" t="s">
        <v>880</v>
      </c>
      <c r="F66" s="11">
        <v>16</v>
      </c>
      <c r="G66" s="11">
        <v>6</v>
      </c>
      <c r="H66" s="11">
        <v>0</v>
      </c>
    </row>
    <row r="67" spans="1:8" ht="15.75" thickBot="1" x14ac:dyDescent="0.3">
      <c r="A67" s="3">
        <v>15</v>
      </c>
      <c r="B67" s="3" t="s">
        <v>915</v>
      </c>
      <c r="C67" s="10" t="s">
        <v>125</v>
      </c>
      <c r="D67" s="3" t="s">
        <v>11</v>
      </c>
      <c r="E67" s="3" t="s">
        <v>881</v>
      </c>
      <c r="F67" s="11">
        <v>4</v>
      </c>
      <c r="G67" s="11">
        <v>6</v>
      </c>
      <c r="H67" s="11">
        <v>0</v>
      </c>
    </row>
    <row r="68" spans="1:8" ht="15.75" thickBot="1" x14ac:dyDescent="0.3">
      <c r="A68" s="3">
        <v>16</v>
      </c>
      <c r="B68" s="3" t="s">
        <v>916</v>
      </c>
      <c r="C68" s="10" t="s">
        <v>128</v>
      </c>
      <c r="D68" s="3" t="s">
        <v>11</v>
      </c>
      <c r="E68" s="3" t="s">
        <v>880</v>
      </c>
      <c r="F68" s="11">
        <v>4</v>
      </c>
      <c r="G68" s="11">
        <v>3</v>
      </c>
      <c r="H68" s="11">
        <v>2</v>
      </c>
    </row>
    <row r="69" spans="1:8" ht="15.75" thickBot="1" x14ac:dyDescent="0.3">
      <c r="A69" s="3">
        <v>17</v>
      </c>
      <c r="B69" s="3" t="s">
        <v>917</v>
      </c>
      <c r="C69" s="10" t="s">
        <v>130</v>
      </c>
      <c r="D69" s="3" t="s">
        <v>11</v>
      </c>
      <c r="E69" s="3" t="s">
        <v>880</v>
      </c>
      <c r="F69" s="11">
        <v>4</v>
      </c>
      <c r="G69" s="11">
        <v>6</v>
      </c>
      <c r="H69" s="11">
        <v>0</v>
      </c>
    </row>
    <row r="70" spans="1:8" ht="15.75" thickBot="1" x14ac:dyDescent="0.3">
      <c r="A70" s="3">
        <v>18</v>
      </c>
      <c r="B70" s="3" t="s">
        <v>918</v>
      </c>
      <c r="C70" s="10" t="s">
        <v>136</v>
      </c>
      <c r="D70" s="3" t="s">
        <v>11</v>
      </c>
      <c r="E70" s="3" t="s">
        <v>881</v>
      </c>
      <c r="F70" s="11">
        <v>3</v>
      </c>
      <c r="G70" s="11">
        <v>4</v>
      </c>
      <c r="H70" s="11">
        <v>21</v>
      </c>
    </row>
    <row r="71" spans="1:8" ht="15.75" thickBot="1" x14ac:dyDescent="0.3">
      <c r="A71" s="3">
        <v>19</v>
      </c>
      <c r="B71" s="3" t="s">
        <v>919</v>
      </c>
      <c r="C71" s="10" t="s">
        <v>138</v>
      </c>
      <c r="D71" s="3" t="s">
        <v>11</v>
      </c>
      <c r="E71" s="3" t="s">
        <v>881</v>
      </c>
      <c r="F71" s="11">
        <v>3</v>
      </c>
      <c r="G71" s="11">
        <v>6</v>
      </c>
      <c r="H71" s="11">
        <v>0</v>
      </c>
    </row>
    <row r="72" spans="1:8" ht="15.75" thickBot="1" x14ac:dyDescent="0.3">
      <c r="A72" s="3">
        <v>20</v>
      </c>
      <c r="B72" s="3" t="s">
        <v>920</v>
      </c>
      <c r="C72" s="10" t="s">
        <v>139</v>
      </c>
      <c r="D72" s="3" t="s">
        <v>11</v>
      </c>
      <c r="E72" s="3" t="s">
        <v>880</v>
      </c>
      <c r="F72" s="11">
        <v>4</v>
      </c>
      <c r="G72" s="11">
        <v>6</v>
      </c>
      <c r="H72" s="11">
        <v>0</v>
      </c>
    </row>
    <row r="73" spans="1:8" ht="15.75" thickBot="1" x14ac:dyDescent="0.3">
      <c r="A73" s="3">
        <v>21</v>
      </c>
      <c r="B73" s="3" t="s">
        <v>921</v>
      </c>
      <c r="C73" s="10" t="s">
        <v>140</v>
      </c>
      <c r="D73" s="3" t="s">
        <v>11</v>
      </c>
      <c r="E73" s="3" t="s">
        <v>880</v>
      </c>
      <c r="F73" s="11">
        <v>4</v>
      </c>
      <c r="G73" s="11">
        <v>6</v>
      </c>
      <c r="H73" s="11">
        <v>0</v>
      </c>
    </row>
    <row r="74" spans="1:8" ht="15.75" thickBot="1" x14ac:dyDescent="0.3">
      <c r="A74" s="3">
        <v>22</v>
      </c>
      <c r="B74" s="3" t="s">
        <v>922</v>
      </c>
      <c r="C74" s="10" t="s">
        <v>142</v>
      </c>
      <c r="D74" s="3" t="s">
        <v>11</v>
      </c>
      <c r="E74" s="3" t="s">
        <v>880</v>
      </c>
      <c r="F74" s="11">
        <v>4</v>
      </c>
      <c r="G74" s="11">
        <v>6</v>
      </c>
      <c r="H74" s="11">
        <v>0</v>
      </c>
    </row>
    <row r="75" spans="1:8" ht="15.75" thickBot="1" x14ac:dyDescent="0.3">
      <c r="A75" s="3">
        <v>23</v>
      </c>
      <c r="B75" s="3" t="s">
        <v>923</v>
      </c>
      <c r="C75" s="10" t="s">
        <v>143</v>
      </c>
      <c r="D75" s="3" t="s">
        <v>11</v>
      </c>
      <c r="E75" s="3" t="s">
        <v>880</v>
      </c>
      <c r="F75" s="11">
        <v>3</v>
      </c>
      <c r="G75" s="11">
        <v>4</v>
      </c>
      <c r="H75" s="11">
        <v>21</v>
      </c>
    </row>
    <row r="76" spans="1:8" ht="15.75" thickBot="1" x14ac:dyDescent="0.3">
      <c r="A76" s="3">
        <v>24</v>
      </c>
      <c r="B76" s="3" t="s">
        <v>924</v>
      </c>
      <c r="C76" s="10" t="s">
        <v>145</v>
      </c>
      <c r="D76" s="3" t="s">
        <v>11</v>
      </c>
      <c r="E76" s="3" t="s">
        <v>880</v>
      </c>
      <c r="F76" s="11">
        <v>16</v>
      </c>
      <c r="G76" s="11">
        <v>3</v>
      </c>
      <c r="H76" s="11">
        <v>1</v>
      </c>
    </row>
    <row r="77" spans="1:8" ht="15.75" thickBot="1" x14ac:dyDescent="0.3">
      <c r="A77" s="3">
        <v>25</v>
      </c>
      <c r="B77" s="3" t="s">
        <v>925</v>
      </c>
      <c r="C77" s="10" t="s">
        <v>147</v>
      </c>
      <c r="D77" s="3" t="s">
        <v>11</v>
      </c>
      <c r="E77" s="3" t="s">
        <v>880</v>
      </c>
      <c r="F77" s="11">
        <v>4</v>
      </c>
      <c r="G77" s="11">
        <v>6</v>
      </c>
      <c r="H77" s="11">
        <v>0</v>
      </c>
    </row>
    <row r="78" spans="1:8" ht="15.75" thickBot="1" x14ac:dyDescent="0.3">
      <c r="A78" s="3">
        <v>26</v>
      </c>
      <c r="B78" s="3" t="s">
        <v>926</v>
      </c>
      <c r="C78" s="10" t="s">
        <v>148</v>
      </c>
      <c r="D78" s="3" t="s">
        <v>11</v>
      </c>
      <c r="E78" s="3" t="s">
        <v>880</v>
      </c>
      <c r="F78" s="11">
        <v>4</v>
      </c>
      <c r="G78" s="11">
        <v>6</v>
      </c>
      <c r="H78" s="11">
        <v>0</v>
      </c>
    </row>
    <row r="79" spans="1:8" ht="15.75" thickBot="1" x14ac:dyDescent="0.3">
      <c r="A79" s="3">
        <v>27</v>
      </c>
      <c r="B79" s="3" t="s">
        <v>927</v>
      </c>
      <c r="C79" s="10" t="s">
        <v>150</v>
      </c>
      <c r="D79" s="3" t="s">
        <v>11</v>
      </c>
      <c r="E79" s="3" t="s">
        <v>880</v>
      </c>
      <c r="F79" s="11">
        <v>4</v>
      </c>
      <c r="G79" s="11">
        <v>6</v>
      </c>
      <c r="H79" s="11">
        <v>0</v>
      </c>
    </row>
    <row r="80" spans="1:8" ht="15.75" thickBot="1" x14ac:dyDescent="0.3">
      <c r="A80" s="3">
        <v>28</v>
      </c>
      <c r="B80" s="3" t="s">
        <v>928</v>
      </c>
      <c r="C80" s="10" t="s">
        <v>151</v>
      </c>
      <c r="D80" s="3" t="s">
        <v>11</v>
      </c>
      <c r="E80" s="3" t="s">
        <v>880</v>
      </c>
      <c r="F80" s="11">
        <v>4</v>
      </c>
      <c r="G80" s="11">
        <v>6</v>
      </c>
      <c r="H80" s="11">
        <v>0</v>
      </c>
    </row>
    <row r="81" spans="1:8" ht="15.75" thickBot="1" x14ac:dyDescent="0.3">
      <c r="A81" s="3">
        <v>29</v>
      </c>
      <c r="B81" s="3" t="s">
        <v>929</v>
      </c>
      <c r="C81" s="10" t="s">
        <v>153</v>
      </c>
      <c r="D81" s="3" t="s">
        <v>11</v>
      </c>
      <c r="E81" s="3" t="s">
        <v>880</v>
      </c>
      <c r="F81" s="11">
        <v>4</v>
      </c>
      <c r="G81" s="11">
        <v>6</v>
      </c>
      <c r="H81" s="11">
        <v>0</v>
      </c>
    </row>
    <row r="82" spans="1:8" ht="15.75" thickBot="1" x14ac:dyDescent="0.3">
      <c r="A82" s="3">
        <v>30</v>
      </c>
      <c r="B82" s="3" t="s">
        <v>930</v>
      </c>
      <c r="C82" s="10" t="s">
        <v>154</v>
      </c>
      <c r="D82" s="3" t="s">
        <v>11</v>
      </c>
      <c r="E82" s="3" t="s">
        <v>880</v>
      </c>
      <c r="F82" s="11">
        <v>4</v>
      </c>
      <c r="G82" s="11">
        <v>6</v>
      </c>
      <c r="H82" s="11">
        <v>0</v>
      </c>
    </row>
    <row r="83" spans="1:8" ht="15.75" thickBot="1" x14ac:dyDescent="0.3">
      <c r="A83" s="3">
        <v>31</v>
      </c>
      <c r="B83" s="3" t="s">
        <v>931</v>
      </c>
      <c r="C83" s="10" t="s">
        <v>155</v>
      </c>
      <c r="D83" s="3" t="s">
        <v>11</v>
      </c>
      <c r="E83" s="3" t="s">
        <v>880</v>
      </c>
      <c r="F83" s="11">
        <v>4</v>
      </c>
      <c r="G83" s="11">
        <v>6</v>
      </c>
      <c r="H83" s="11">
        <v>0</v>
      </c>
    </row>
    <row r="84" spans="1:8" ht="15.75" thickBot="1" x14ac:dyDescent="0.3">
      <c r="A84" s="3">
        <v>32</v>
      </c>
      <c r="B84" s="3" t="s">
        <v>932</v>
      </c>
      <c r="C84" s="10" t="s">
        <v>156</v>
      </c>
      <c r="D84" s="3" t="s">
        <v>11</v>
      </c>
      <c r="E84" s="3" t="s">
        <v>880</v>
      </c>
      <c r="F84" s="11">
        <v>4</v>
      </c>
      <c r="G84" s="11">
        <v>6</v>
      </c>
      <c r="H84" s="11">
        <v>0</v>
      </c>
    </row>
    <row r="85" spans="1:8" ht="15.75" thickBot="1" x14ac:dyDescent="0.3">
      <c r="A85" s="3">
        <v>33</v>
      </c>
      <c r="B85" s="3" t="s">
        <v>933</v>
      </c>
      <c r="C85" s="10" t="s">
        <v>157</v>
      </c>
      <c r="D85" s="3" t="s">
        <v>11</v>
      </c>
      <c r="E85" s="3" t="s">
        <v>880</v>
      </c>
      <c r="F85" s="11">
        <v>4</v>
      </c>
      <c r="G85" s="11">
        <v>6</v>
      </c>
      <c r="H85" s="11">
        <v>0</v>
      </c>
    </row>
    <row r="86" spans="1:8" ht="15.75" thickBot="1" x14ac:dyDescent="0.3">
      <c r="A86" s="3">
        <v>34</v>
      </c>
      <c r="B86" s="3" t="s">
        <v>934</v>
      </c>
      <c r="C86" s="10" t="s">
        <v>158</v>
      </c>
      <c r="D86" s="3" t="s">
        <v>11</v>
      </c>
      <c r="E86" s="3" t="s">
        <v>880</v>
      </c>
      <c r="F86" s="11">
        <v>4</v>
      </c>
      <c r="G86" s="11">
        <v>6</v>
      </c>
      <c r="H86" s="11">
        <v>0</v>
      </c>
    </row>
    <row r="87" spans="1:8" ht="15.75" thickBot="1" x14ac:dyDescent="0.3">
      <c r="A87" s="3">
        <v>35</v>
      </c>
      <c r="B87" s="3" t="s">
        <v>935</v>
      </c>
      <c r="C87" s="10" t="s">
        <v>159</v>
      </c>
      <c r="D87" s="3" t="s">
        <v>11</v>
      </c>
      <c r="E87" s="3" t="s">
        <v>880</v>
      </c>
      <c r="F87" s="11">
        <v>4</v>
      </c>
      <c r="G87" s="11">
        <v>6</v>
      </c>
      <c r="H87" s="11">
        <v>0</v>
      </c>
    </row>
    <row r="88" spans="1:8" ht="15.75" thickBot="1" x14ac:dyDescent="0.3">
      <c r="A88" s="3">
        <v>36</v>
      </c>
      <c r="B88" s="3" t="s">
        <v>936</v>
      </c>
      <c r="C88" s="10" t="s">
        <v>160</v>
      </c>
      <c r="D88" s="3" t="s">
        <v>11</v>
      </c>
      <c r="E88" s="3" t="s">
        <v>880</v>
      </c>
      <c r="F88" s="11">
        <v>27</v>
      </c>
      <c r="G88" s="11">
        <v>3</v>
      </c>
      <c r="H88" s="11">
        <v>14</v>
      </c>
    </row>
    <row r="89" spans="1:8" ht="15.75" thickBot="1" x14ac:dyDescent="0.3">
      <c r="A89" s="3">
        <v>37</v>
      </c>
      <c r="B89" s="3" t="s">
        <v>937</v>
      </c>
      <c r="C89" s="10" t="s">
        <v>167</v>
      </c>
      <c r="D89" s="3" t="s">
        <v>11</v>
      </c>
      <c r="E89" s="3" t="s">
        <v>880</v>
      </c>
      <c r="F89" s="11">
        <v>4</v>
      </c>
      <c r="G89" s="11">
        <v>6</v>
      </c>
      <c r="H89" s="11">
        <v>0</v>
      </c>
    </row>
    <row r="90" spans="1:8" ht="15.75" thickBot="1" x14ac:dyDescent="0.3">
      <c r="A90" s="3">
        <v>38</v>
      </c>
      <c r="B90" s="3" t="s">
        <v>938</v>
      </c>
      <c r="C90" s="10" t="s">
        <v>168</v>
      </c>
      <c r="D90" s="3" t="s">
        <v>11</v>
      </c>
      <c r="E90" s="3" t="s">
        <v>880</v>
      </c>
      <c r="F90" s="11">
        <v>4</v>
      </c>
      <c r="G90" s="11">
        <v>6</v>
      </c>
      <c r="H90" s="11">
        <v>0</v>
      </c>
    </row>
    <row r="91" spans="1:8" ht="15.75" thickBot="1" x14ac:dyDescent="0.3">
      <c r="A91" s="3">
        <v>39</v>
      </c>
      <c r="B91" s="3" t="s">
        <v>939</v>
      </c>
      <c r="C91" s="10" t="s">
        <v>170</v>
      </c>
      <c r="D91" s="3" t="s">
        <v>11</v>
      </c>
      <c r="E91" s="3" t="s">
        <v>880</v>
      </c>
      <c r="F91" s="11">
        <v>4</v>
      </c>
      <c r="G91" s="11">
        <v>6</v>
      </c>
      <c r="H91" s="11">
        <v>0</v>
      </c>
    </row>
    <row r="92" spans="1:8" ht="15.75" thickBot="1" x14ac:dyDescent="0.3">
      <c r="A92" s="3">
        <v>40</v>
      </c>
      <c r="B92" s="3" t="s">
        <v>940</v>
      </c>
      <c r="C92" s="10" t="s">
        <v>171</v>
      </c>
      <c r="D92" s="3" t="s">
        <v>11</v>
      </c>
      <c r="E92" s="3" t="s">
        <v>880</v>
      </c>
      <c r="F92" s="11">
        <v>4</v>
      </c>
      <c r="G92" s="11">
        <v>6</v>
      </c>
      <c r="H92" s="11">
        <v>0</v>
      </c>
    </row>
    <row r="93" spans="1:8" ht="15.75" thickBot="1" x14ac:dyDescent="0.3">
      <c r="A93" s="3">
        <v>41</v>
      </c>
      <c r="B93" s="3" t="s">
        <v>941</v>
      </c>
      <c r="C93" s="10" t="s">
        <v>172</v>
      </c>
      <c r="D93" s="3" t="s">
        <v>11</v>
      </c>
      <c r="E93" s="3" t="s">
        <v>880</v>
      </c>
      <c r="F93" s="11">
        <v>4</v>
      </c>
      <c r="G93" s="11">
        <v>6</v>
      </c>
      <c r="H93" s="11">
        <v>0</v>
      </c>
    </row>
    <row r="94" spans="1:8" ht="15.75" thickBot="1" x14ac:dyDescent="0.3">
      <c r="A94" s="3">
        <v>42</v>
      </c>
      <c r="B94" s="3" t="s">
        <v>942</v>
      </c>
      <c r="C94" s="10" t="s">
        <v>175</v>
      </c>
      <c r="D94" s="3" t="s">
        <v>11</v>
      </c>
      <c r="E94" s="3" t="s">
        <v>880</v>
      </c>
      <c r="F94" s="11">
        <v>4</v>
      </c>
      <c r="G94" s="11">
        <v>6</v>
      </c>
      <c r="H94" s="11">
        <v>0</v>
      </c>
    </row>
    <row r="95" spans="1:8" ht="15.75" thickBot="1" x14ac:dyDescent="0.3">
      <c r="A95" s="3">
        <v>43</v>
      </c>
      <c r="B95" s="3" t="s">
        <v>943</v>
      </c>
      <c r="C95" s="10" t="s">
        <v>177</v>
      </c>
      <c r="D95" s="3" t="s">
        <v>11</v>
      </c>
      <c r="E95" s="3" t="s">
        <v>880</v>
      </c>
      <c r="F95" s="11">
        <v>4</v>
      </c>
      <c r="G95" s="11">
        <v>6</v>
      </c>
      <c r="H95" s="11">
        <v>0</v>
      </c>
    </row>
    <row r="96" spans="1:8" ht="15.75" thickBot="1" x14ac:dyDescent="0.3">
      <c r="A96" s="3">
        <v>44</v>
      </c>
      <c r="B96" s="3" t="s">
        <v>944</v>
      </c>
      <c r="C96" s="10" t="s">
        <v>181</v>
      </c>
      <c r="D96" s="3" t="s">
        <v>11</v>
      </c>
      <c r="E96" s="3" t="s">
        <v>880</v>
      </c>
      <c r="F96" s="11">
        <v>4</v>
      </c>
      <c r="G96" s="11">
        <v>6</v>
      </c>
      <c r="H96" s="11">
        <v>0</v>
      </c>
    </row>
  </sheetData>
  <mergeCells count="22">
    <mergeCell ref="A50:H50"/>
    <mergeCell ref="A51:A52"/>
    <mergeCell ref="B51:B52"/>
    <mergeCell ref="C51:C52"/>
    <mergeCell ref="D51:D52"/>
    <mergeCell ref="E51:E52"/>
    <mergeCell ref="F51:H51"/>
    <mergeCell ref="A28:H28"/>
    <mergeCell ref="A29:A30"/>
    <mergeCell ref="B29:B30"/>
    <mergeCell ref="C29:C30"/>
    <mergeCell ref="D29:D30"/>
    <mergeCell ref="E29:E30"/>
    <mergeCell ref="F29:H29"/>
    <mergeCell ref="A1:H1"/>
    <mergeCell ref="A3:H3"/>
    <mergeCell ref="A4:A5"/>
    <mergeCell ref="B4:B5"/>
    <mergeCell ref="C4:C5"/>
    <mergeCell ref="D4:D5"/>
    <mergeCell ref="E4:E5"/>
    <mergeCell ref="F4:H4"/>
  </mergeCells>
  <conditionalFormatting sqref="A3">
    <cfRule type="duplicateValues" dxfId="2" priority="3"/>
  </conditionalFormatting>
  <conditionalFormatting sqref="A28">
    <cfRule type="duplicateValues" dxfId="1" priority="2"/>
  </conditionalFormatting>
  <conditionalFormatting sqref="A5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ReportePlanillasxConcepto - 202</vt:lpstr>
      <vt:lpstr>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Villegas</dc:creator>
  <cp:keywords/>
  <dc:description/>
  <cp:lastModifiedBy>proy_social_fc@uni.edu.pe</cp:lastModifiedBy>
  <cp:revision/>
  <cp:lastPrinted>2026-07-10T21:30:36Z</cp:lastPrinted>
  <dcterms:created xsi:type="dcterms:W3CDTF">2026-06-12T21:26:48Z</dcterms:created>
  <dcterms:modified xsi:type="dcterms:W3CDTF">2026-07-10T21:31:07Z</dcterms:modified>
  <cp:category/>
  <cp:contentStatus/>
</cp:coreProperties>
</file>